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13_ncr:1_{07D911DA-AEC7-47D6-947A-5EBBB6FECC1C}" xr6:coauthVersionLast="47" xr6:coauthVersionMax="47" xr10:uidLastSave="{00000000-0000-0000-0000-000000000000}"/>
  <bookViews>
    <workbookView xWindow="-120" yWindow="-120" windowWidth="20730" windowHeight="11160" xr2:uid="{6B47767E-8CEB-4598-876A-4EC625154F13}"/>
  </bookViews>
  <sheets>
    <sheet name="Sheet1" sheetId="1" r:id="rId1"/>
  </sheets>
  <definedNames>
    <definedName name="_Hlk84927499" localSheetId="0">Sheet1!$H$20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9" i="1" l="1"/>
  <c r="D49" i="1"/>
  <c r="A49" i="1"/>
  <c r="T28" i="1"/>
  <c r="D28" i="1"/>
  <c r="A28" i="1"/>
  <c r="T10" i="1"/>
  <c r="T42" i="1"/>
  <c r="T9" i="1"/>
  <c r="T65" i="1"/>
  <c r="T11" i="1"/>
  <c r="T31" i="1"/>
  <c r="T63" i="1"/>
  <c r="T57" i="1"/>
  <c r="T33" i="1"/>
  <c r="T71" i="1"/>
  <c r="T41" i="1"/>
  <c r="T73" i="1"/>
  <c r="T43" i="1"/>
  <c r="T25" i="1"/>
  <c r="T22" i="1"/>
  <c r="T68" i="1"/>
  <c r="T44" i="1"/>
  <c r="T19" i="1"/>
  <c r="T23" i="1"/>
  <c r="T16" i="1"/>
  <c r="T15" i="1"/>
  <c r="T20" i="1"/>
  <c r="T35" i="1"/>
  <c r="T56" i="1"/>
  <c r="T12" i="1"/>
  <c r="T18" i="1"/>
  <c r="T21" i="1"/>
  <c r="T7" i="1"/>
  <c r="T17" i="1"/>
  <c r="T34" i="1"/>
  <c r="T8" i="1"/>
  <c r="T59" i="1"/>
  <c r="T27" i="1"/>
  <c r="T62" i="1"/>
  <c r="T60" i="1"/>
  <c r="T24" i="1"/>
  <c r="T58" i="1"/>
  <c r="T64" i="1"/>
  <c r="T13" i="1"/>
  <c r="T52" i="1"/>
  <c r="T67" i="1"/>
  <c r="T72" i="1"/>
  <c r="T61" i="1"/>
  <c r="T51" i="1"/>
  <c r="T75" i="1"/>
  <c r="T66" i="1"/>
  <c r="T36" i="1"/>
  <c r="T54" i="1"/>
  <c r="T69" i="1"/>
  <c r="T32" i="1"/>
  <c r="D57" i="1"/>
  <c r="A57" i="1"/>
  <c r="D33" i="1"/>
  <c r="A33" i="1"/>
  <c r="D71" i="1"/>
  <c r="A71" i="1"/>
  <c r="D41" i="1"/>
  <c r="A41" i="1"/>
  <c r="D73" i="1"/>
  <c r="A73" i="1"/>
  <c r="D43" i="1"/>
  <c r="A43" i="1"/>
  <c r="D25" i="1"/>
  <c r="A25" i="1"/>
  <c r="D22" i="1"/>
  <c r="A22" i="1"/>
  <c r="D68" i="1"/>
  <c r="A68" i="1"/>
  <c r="D44" i="1"/>
  <c r="A44" i="1"/>
  <c r="D19" i="1"/>
  <c r="A19" i="1"/>
  <c r="D23" i="1"/>
  <c r="A23" i="1"/>
  <c r="D16" i="1"/>
  <c r="A16" i="1"/>
  <c r="D76" i="1"/>
  <c r="A76" i="1"/>
  <c r="D15" i="1"/>
  <c r="A15" i="1"/>
  <c r="D46" i="1"/>
  <c r="A46" i="1"/>
  <c r="D20" i="1"/>
  <c r="A20" i="1"/>
  <c r="D35" i="1"/>
  <c r="A35" i="1"/>
  <c r="D56" i="1"/>
  <c r="A56" i="1"/>
  <c r="D12" i="1"/>
  <c r="A12" i="1"/>
  <c r="D18" i="1"/>
  <c r="A18" i="1"/>
  <c r="D39" i="1"/>
  <c r="A39" i="1"/>
  <c r="D21" i="1"/>
  <c r="A21" i="1"/>
  <c r="D38" i="1"/>
  <c r="A38" i="1"/>
  <c r="D7" i="1"/>
  <c r="A7" i="1"/>
  <c r="D17" i="1"/>
  <c r="A17" i="1"/>
  <c r="D34" i="1"/>
  <c r="A34" i="1"/>
  <c r="D8" i="1"/>
  <c r="A8" i="1"/>
  <c r="D59" i="1"/>
  <c r="A59" i="1"/>
  <c r="D27" i="1"/>
  <c r="A27" i="1"/>
  <c r="D62" i="1"/>
  <c r="A62" i="1"/>
  <c r="D29" i="1"/>
  <c r="A29" i="1"/>
  <c r="D60" i="1"/>
  <c r="A60" i="1"/>
  <c r="D24" i="1"/>
  <c r="A24" i="1"/>
  <c r="D58" i="1"/>
  <c r="A58" i="1"/>
  <c r="D64" i="1"/>
  <c r="A64" i="1"/>
  <c r="D37" i="1"/>
  <c r="A37" i="1"/>
  <c r="D13" i="1"/>
  <c r="A13" i="1"/>
  <c r="D52" i="1"/>
  <c r="A52" i="1"/>
  <c r="D67" i="1"/>
  <c r="A67" i="1"/>
  <c r="D72" i="1"/>
  <c r="A72" i="1"/>
  <c r="D61" i="1"/>
  <c r="A61" i="1"/>
  <c r="D51" i="1"/>
  <c r="A51" i="1"/>
  <c r="D75" i="1"/>
  <c r="A75" i="1"/>
  <c r="D66" i="1"/>
  <c r="A66" i="1"/>
  <c r="D36" i="1"/>
  <c r="A36" i="1"/>
  <c r="D54" i="1"/>
  <c r="A54" i="1"/>
  <c r="D69" i="1"/>
  <c r="A69" i="1"/>
  <c r="D32" i="1"/>
  <c r="A32" i="1"/>
</calcChain>
</file>

<file path=xl/sharedStrings.xml><?xml version="1.0" encoding="utf-8"?>
<sst xmlns="http://schemas.openxmlformats.org/spreadsheetml/2006/main" count="470" uniqueCount="205">
  <si>
    <t>Waltham Chase Trials MCC</t>
  </si>
  <si>
    <t>Woodberry Lane, Rowlands Castle. 17th October 2021</t>
  </si>
  <si>
    <t xml:space="preserve"> Permit: ACU61540</t>
  </si>
  <si>
    <t>No.</t>
  </si>
  <si>
    <t>Name</t>
  </si>
  <si>
    <t>ACU No.</t>
  </si>
  <si>
    <t>Class</t>
  </si>
  <si>
    <t>Machine</t>
  </si>
  <si>
    <t>Club</t>
  </si>
  <si>
    <t>George</t>
  </si>
  <si>
    <t>Greenland</t>
  </si>
  <si>
    <t>Pre 65 D</t>
  </si>
  <si>
    <t>BSA Bantam 175</t>
  </si>
  <si>
    <t>Ronnie</t>
  </si>
  <si>
    <t>Allen</t>
  </si>
  <si>
    <t>Veteran</t>
  </si>
  <si>
    <t>Montesa 315R</t>
  </si>
  <si>
    <t>Geoff</t>
  </si>
  <si>
    <t>Parker</t>
  </si>
  <si>
    <t>Twin Shock D</t>
  </si>
  <si>
    <t>Fantic 156</t>
  </si>
  <si>
    <t>Muston</t>
  </si>
  <si>
    <t>Twin Shock C</t>
  </si>
  <si>
    <t>Honda TL 125</t>
  </si>
  <si>
    <t>Andy</t>
  </si>
  <si>
    <t>Withers</t>
  </si>
  <si>
    <t>BSA B40</t>
  </si>
  <si>
    <t>Ian</t>
  </si>
  <si>
    <t>Bartholomew</t>
  </si>
  <si>
    <t>Beta 250</t>
  </si>
  <si>
    <t>Rory</t>
  </si>
  <si>
    <t>Bennett</t>
  </si>
  <si>
    <t>Youth C</t>
  </si>
  <si>
    <t>Oset 20</t>
  </si>
  <si>
    <t>Tony</t>
  </si>
  <si>
    <t>Billingham</t>
  </si>
  <si>
    <t>Yamaha Majesty</t>
  </si>
  <si>
    <t>Anthony</t>
  </si>
  <si>
    <t>Knott</t>
  </si>
  <si>
    <t>Vertigo</t>
  </si>
  <si>
    <t>Finlay</t>
  </si>
  <si>
    <t>Coles</t>
  </si>
  <si>
    <t>TRS ONE RR 125</t>
  </si>
  <si>
    <t>Andrew</t>
  </si>
  <si>
    <t>Bryant</t>
  </si>
  <si>
    <t>Gas Gas TXT Pro 280</t>
  </si>
  <si>
    <t>Michael</t>
  </si>
  <si>
    <t>Machinek</t>
  </si>
  <si>
    <t>Honda TLR 200</t>
  </si>
  <si>
    <t>Jack</t>
  </si>
  <si>
    <t>Clubman</t>
  </si>
  <si>
    <t>Sherco 300</t>
  </si>
  <si>
    <t>Ballard</t>
  </si>
  <si>
    <t>BSA Otter 340</t>
  </si>
  <si>
    <t>Nigel</t>
  </si>
  <si>
    <t>Parvin</t>
  </si>
  <si>
    <t>Gas Gas 250</t>
  </si>
  <si>
    <t>John</t>
  </si>
  <si>
    <t>Denham</t>
  </si>
  <si>
    <t>Shamus</t>
  </si>
  <si>
    <t>Doohan</t>
  </si>
  <si>
    <t>TRS 250</t>
  </si>
  <si>
    <t>Ringwood MC &amp; LCC</t>
  </si>
  <si>
    <t>Barry</t>
  </si>
  <si>
    <t>Evans</t>
  </si>
  <si>
    <t>Novice</t>
  </si>
  <si>
    <t>Gas Gas TXT 200</t>
  </si>
  <si>
    <t>Dave</t>
  </si>
  <si>
    <t>Henvest</t>
  </si>
  <si>
    <t>Montesa 4RT</t>
  </si>
  <si>
    <t>Brian</t>
  </si>
  <si>
    <t>Page</t>
  </si>
  <si>
    <t>Pre 65 C</t>
  </si>
  <si>
    <t>BSA C15</t>
  </si>
  <si>
    <t>Smallshaw</t>
  </si>
  <si>
    <t>Gas Gas Pro 250</t>
  </si>
  <si>
    <t>Bob</t>
  </si>
  <si>
    <t>Hampton</t>
  </si>
  <si>
    <t>BSA Bantam</t>
  </si>
  <si>
    <t>Jeremy</t>
  </si>
  <si>
    <t>Orchard</t>
  </si>
  <si>
    <t>Vertigo 250</t>
  </si>
  <si>
    <t>Reynard</t>
  </si>
  <si>
    <t>Norris</t>
  </si>
  <si>
    <t>Beta Evo 250</t>
  </si>
  <si>
    <t>North Berks. MCC</t>
  </si>
  <si>
    <t>Philip</t>
  </si>
  <si>
    <t>Jones</t>
  </si>
  <si>
    <t>Yamaha TY 250</t>
  </si>
  <si>
    <t>Vintage Motor Cycle Club Ltd</t>
  </si>
  <si>
    <t>Emery</t>
  </si>
  <si>
    <t>Gas Gas 125</t>
  </si>
  <si>
    <t>Sherlock</t>
  </si>
  <si>
    <t>James 250</t>
  </si>
  <si>
    <t>Exmoor Motor Club Ltd</t>
  </si>
  <si>
    <t>Tom</t>
  </si>
  <si>
    <t>Charman</t>
  </si>
  <si>
    <t>Triumph Tiger Cub</t>
  </si>
  <si>
    <t>Paul</t>
  </si>
  <si>
    <t>Amey</t>
  </si>
  <si>
    <t>Bruton</t>
  </si>
  <si>
    <t>Ariel HT5</t>
  </si>
  <si>
    <t>Samuel</t>
  </si>
  <si>
    <t>Green</t>
  </si>
  <si>
    <t>Beta Rev3 250</t>
  </si>
  <si>
    <t>Attwood</t>
  </si>
  <si>
    <t>Beta Evo 300</t>
  </si>
  <si>
    <t>Tim</t>
  </si>
  <si>
    <t>Bird</t>
  </si>
  <si>
    <t>Montesa Cota RR</t>
  </si>
  <si>
    <t>Trevor</t>
  </si>
  <si>
    <t>Newell</t>
  </si>
  <si>
    <t>Steve</t>
  </si>
  <si>
    <t>Leigh</t>
  </si>
  <si>
    <t>Mark</t>
  </si>
  <si>
    <t>Ryder</t>
  </si>
  <si>
    <t>Sportsman</t>
  </si>
  <si>
    <t>Whitlock</t>
  </si>
  <si>
    <t>Gas Gas TXT Pro 125</t>
  </si>
  <si>
    <t>Harrison</t>
  </si>
  <si>
    <t>Kent</t>
  </si>
  <si>
    <t>Beta 80</t>
  </si>
  <si>
    <t>Greg</t>
  </si>
  <si>
    <t>Seymour</t>
  </si>
  <si>
    <t>Richard</t>
  </si>
  <si>
    <t>Gennings</t>
  </si>
  <si>
    <t>Beta Evo 290</t>
  </si>
  <si>
    <t>Sam</t>
  </si>
  <si>
    <t>Webb</t>
  </si>
  <si>
    <t>Sherco 250</t>
  </si>
  <si>
    <t>Clint</t>
  </si>
  <si>
    <t>Sparrey</t>
  </si>
  <si>
    <t>Gas Gas TXT 250</t>
  </si>
  <si>
    <t>Bridport &amp; Weymouth MCC</t>
  </si>
  <si>
    <t>Bull</t>
  </si>
  <si>
    <t>Montesa 301 RR</t>
  </si>
  <si>
    <t>Clifford</t>
  </si>
  <si>
    <t>Pitman</t>
  </si>
  <si>
    <t>Beta 200</t>
  </si>
  <si>
    <t>Jordan</t>
  </si>
  <si>
    <t>TRS ONE 250</t>
  </si>
  <si>
    <t>Glenn</t>
  </si>
  <si>
    <t>Keet</t>
  </si>
  <si>
    <t>Conor</t>
  </si>
  <si>
    <t>Sherco 125</t>
  </si>
  <si>
    <t>Glenn H G</t>
  </si>
  <si>
    <t>Montesa 260</t>
  </si>
  <si>
    <t>Richie</t>
  </si>
  <si>
    <t>Jim</t>
  </si>
  <si>
    <t>Gray</t>
  </si>
  <si>
    <t>Pattison</t>
  </si>
  <si>
    <t>Scorpa 143</t>
  </si>
  <si>
    <t>Colin</t>
  </si>
  <si>
    <t>Mew</t>
  </si>
  <si>
    <t>Royal Enfield</t>
  </si>
  <si>
    <t>Rustell</t>
  </si>
  <si>
    <t>Royal Enfield 350</t>
  </si>
  <si>
    <t>Martin</t>
  </si>
  <si>
    <t>Bartlett</t>
  </si>
  <si>
    <t>TRS RR 250</t>
  </si>
  <si>
    <t xml:space="preserve">Mark </t>
  </si>
  <si>
    <t>Bognor Regis MCC</t>
  </si>
  <si>
    <t>T004126</t>
  </si>
  <si>
    <t>Pete</t>
  </si>
  <si>
    <t>Penton</t>
  </si>
  <si>
    <t>Beta Evo 125</t>
  </si>
  <si>
    <t>Gareth</t>
  </si>
  <si>
    <t>Plews</t>
  </si>
  <si>
    <t>Gas Gas 300</t>
  </si>
  <si>
    <t>Luke</t>
  </si>
  <si>
    <t>Williams</t>
  </si>
  <si>
    <t>Results - The Autumn Shield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</si>
  <si>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</si>
  <si>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</si>
  <si>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</si>
  <si>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</si>
  <si>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</si>
  <si>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</si>
  <si>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</si>
  <si>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</si>
  <si>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</si>
  <si>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</si>
  <si>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</si>
  <si>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</si>
  <si>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Total</t>
  </si>
  <si>
    <t>Pos.</t>
  </si>
  <si>
    <t>DNS</t>
  </si>
  <si>
    <t>DNF</t>
  </si>
  <si>
    <t>Twin Shock B</t>
  </si>
  <si>
    <t>Youth D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</si>
  <si>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</si>
  <si>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</si>
  <si>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</si>
  <si>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</si>
  <si>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</si>
  <si>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</si>
  <si>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</si>
  <si>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</si>
  <si>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</si>
  <si>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</si>
  <si>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</si>
  <si>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</si>
  <si>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</si>
  <si>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</si>
  <si>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Phil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</si>
</sst>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8" xfId="0" applyFont="1" applyBorder="1"/>
    <xf numFmtId="0" fontId="3" fillId="0" borderId="10" xfId="0" applyFont="1" applyFill="1" applyBorder="1" applyAlignment="1">
      <alignment wrapText="1"/>
    </xf>
    <xf numFmtId="0" fontId="3" fillId="0" borderId="8" xfId="0" applyFont="1" applyFill="1" applyBorder="1"/>
    <xf numFmtId="0" fontId="3" fillId="0" borderId="8" xfId="0" applyFont="1" applyFill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3" fillId="0" borderId="10" xfId="0" applyFont="1" applyBorder="1" applyAlignment="1">
      <alignment wrapText="1"/>
    </xf>
    <xf numFmtId="0" fontId="1" fillId="0" borderId="0" xfId="0" applyFont="1" applyAlignment="1"/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39C98-D1F0-409B-877C-24FA2E5BC5E0}">
  <dimension ref="A1:U85"/>
  <sheetViews>
    <sheetView tabSelected="1" topLeftCell="B37" workbookViewId="0">
      <selection activeCell="N52" sqref="N52"/>
    </sheetView>
  </sheetViews>
  <sheetFormatPr defaultRowHeight="15" x14ac:dyDescent="0.25"/>
  <cols>
    <col min="1" max="1" width="8.5703125" style="10" customWidth="1"/>
    <col min="2" max="2" width="14" customWidth="1"/>
    <col min="3" max="3" width="12.42578125" customWidth="1"/>
    <col min="4" max="4" width="10.7109375" style="10" customWidth="1"/>
    <col min="5" max="5" width="12.28515625" customWidth="1"/>
    <col min="6" max="6" width="19.140625" customWidth="1"/>
    <col min="7" max="7" width="24.7109375" customWidth="1"/>
    <col min="8" max="19" width="6.7109375" style="10" customWidth="1"/>
    <col min="20" max="20" width="7.42578125" style="10" customWidth="1"/>
    <col min="21" max="21" width="6.7109375" style="10" customWidth="1"/>
  </cols>
  <sheetData>
    <row r="1" spans="1:21" x14ac:dyDescent="0.25">
      <c r="A1" s="38" t="s">
        <v>0</v>
      </c>
      <c r="B1" s="38"/>
      <c r="C1" s="38"/>
      <c r="D1" s="38"/>
      <c r="E1" s="38"/>
      <c r="F1" s="38"/>
      <c r="G1" s="38"/>
    </row>
    <row r="2" spans="1:21" x14ac:dyDescent="0.25">
      <c r="A2" s="38" t="s">
        <v>171</v>
      </c>
      <c r="B2" s="38"/>
      <c r="C2" s="38"/>
      <c r="D2" s="38"/>
      <c r="E2" s="38"/>
      <c r="F2" s="38"/>
      <c r="G2" s="38"/>
    </row>
    <row r="3" spans="1:21" x14ac:dyDescent="0.25">
      <c r="A3" s="38" t="s">
        <v>1</v>
      </c>
      <c r="B3" s="38"/>
      <c r="C3" s="38"/>
      <c r="D3" s="38"/>
      <c r="E3" s="38"/>
      <c r="F3" s="38"/>
      <c r="G3" s="38"/>
    </row>
    <row r="4" spans="1:21" x14ac:dyDescent="0.25">
      <c r="A4" s="38" t="s">
        <v>2</v>
      </c>
      <c r="B4" s="38"/>
      <c r="C4" s="38"/>
      <c r="D4" s="38"/>
      <c r="E4" s="38"/>
      <c r="F4" s="38"/>
      <c r="G4" s="38"/>
    </row>
    <row r="5" spans="1:21" s="2" customFormat="1" x14ac:dyDescent="0.25">
      <c r="A5" s="1"/>
      <c r="B5" s="1"/>
      <c r="C5" s="1"/>
      <c r="D5" s="1"/>
      <c r="E5" s="1"/>
      <c r="F5" s="1"/>
      <c r="G5" s="1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s="20" customFormat="1" ht="12.75" x14ac:dyDescent="0.2">
      <c r="A6" s="3" t="s">
        <v>3</v>
      </c>
      <c r="B6" s="39" t="s">
        <v>4</v>
      </c>
      <c r="C6" s="39"/>
      <c r="D6" s="18" t="s">
        <v>5</v>
      </c>
      <c r="E6" s="18" t="s">
        <v>6</v>
      </c>
      <c r="F6" s="18" t="s">
        <v>7</v>
      </c>
      <c r="G6" s="19" t="s">
        <v>8</v>
      </c>
      <c r="H6" s="18" t="s">
        <v>172</v>
      </c>
      <c r="I6" s="18" t="s">
        <v>173</v>
      </c>
      <c r="J6" s="18" t="s">
        <v>174</v>
      </c>
      <c r="K6" s="18" t="s">
        <v>175</v>
      </c>
      <c r="L6" s="18" t="s">
        <v>176</v>
      </c>
      <c r="M6" s="18" t="s">
        <v>177</v>
      </c>
      <c r="N6" s="18" t="s">
        <v>178</v>
      </c>
      <c r="O6" s="18" t="s">
        <v>179</v>
      </c>
      <c r="P6" s="18" t="s">
        <v>180</v>
      </c>
      <c r="Q6" s="18" t="s">
        <v>181</v>
      </c>
      <c r="R6" s="18" t="s">
        <v>182</v>
      </c>
      <c r="S6" s="18" t="s">
        <v>183</v>
      </c>
      <c r="T6" s="18" t="s">
        <v>184</v>
      </c>
      <c r="U6" s="18" t="s">
        <v>185</v>
      </c>
    </row>
    <row r="7" spans="1:21" s="21" customFormat="1" ht="12.75" x14ac:dyDescent="0.2">
      <c r="A7" s="4" t="str">
        <f>("243")</f>
        <v>243</v>
      </c>
      <c r="B7" s="5" t="s">
        <v>67</v>
      </c>
      <c r="C7" s="5" t="s">
        <v>92</v>
      </c>
      <c r="D7" s="4" t="str">
        <f>("89401")</f>
        <v>89401</v>
      </c>
      <c r="E7" s="5" t="s">
        <v>50</v>
      </c>
      <c r="F7" s="5" t="s">
        <v>93</v>
      </c>
      <c r="G7" s="15" t="s">
        <v>94</v>
      </c>
      <c r="H7" s="13">
        <v>0</v>
      </c>
      <c r="I7" s="13">
        <v>0</v>
      </c>
      <c r="J7" s="13">
        <v>0</v>
      </c>
      <c r="K7" s="13">
        <v>1</v>
      </c>
      <c r="L7" s="13">
        <v>1</v>
      </c>
      <c r="M7" s="13">
        <v>3</v>
      </c>
      <c r="N7" s="13">
        <v>0</v>
      </c>
      <c r="O7" s="13">
        <v>0</v>
      </c>
      <c r="P7" s="13">
        <v>1</v>
      </c>
      <c r="Q7" s="13">
        <v>0</v>
      </c>
      <c r="R7" s="13">
        <v>0</v>
      </c>
      <c r="S7" s="13">
        <v>0</v>
      </c>
      <c r="T7" s="13">
        <f t="shared" ref="T7:T13" si="0">SUM(H7:S7)</f>
        <v>6</v>
      </c>
      <c r="U7" s="13" t="s">
        <v>190</v>
      </c>
    </row>
    <row r="8" spans="1:21" s="21" customFormat="1" ht="12.75" x14ac:dyDescent="0.2">
      <c r="A8" s="6" t="str">
        <f>("190")</f>
        <v>190</v>
      </c>
      <c r="B8" s="7" t="s">
        <v>82</v>
      </c>
      <c r="C8" s="7" t="s">
        <v>83</v>
      </c>
      <c r="D8" s="6" t="str">
        <f>("11704")</f>
        <v>11704</v>
      </c>
      <c r="E8" s="7" t="s">
        <v>50</v>
      </c>
      <c r="F8" s="7" t="s">
        <v>84</v>
      </c>
      <c r="G8" s="16" t="s">
        <v>85</v>
      </c>
      <c r="H8" s="13">
        <v>0</v>
      </c>
      <c r="I8" s="13">
        <v>0</v>
      </c>
      <c r="J8" s="13">
        <v>1</v>
      </c>
      <c r="K8" s="13">
        <v>0</v>
      </c>
      <c r="L8" s="13">
        <v>4</v>
      </c>
      <c r="M8" s="13">
        <v>2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f t="shared" si="0"/>
        <v>7</v>
      </c>
      <c r="U8" s="13" t="s">
        <v>191</v>
      </c>
    </row>
    <row r="9" spans="1:21" s="21" customFormat="1" ht="12.75" x14ac:dyDescent="0.2">
      <c r="A9" s="23">
        <v>804</v>
      </c>
      <c r="B9" s="26" t="s">
        <v>163</v>
      </c>
      <c r="C9" s="26" t="s">
        <v>164</v>
      </c>
      <c r="D9" s="23">
        <v>74864</v>
      </c>
      <c r="E9" s="26" t="s">
        <v>50</v>
      </c>
      <c r="F9" s="26" t="s">
        <v>165</v>
      </c>
      <c r="G9" s="31" t="s">
        <v>133</v>
      </c>
      <c r="H9" s="13">
        <v>0</v>
      </c>
      <c r="I9" s="13">
        <v>0</v>
      </c>
      <c r="J9" s="13">
        <v>1</v>
      </c>
      <c r="K9" s="13">
        <v>0</v>
      </c>
      <c r="L9" s="13">
        <v>2</v>
      </c>
      <c r="M9" s="13">
        <v>12</v>
      </c>
      <c r="N9" s="13">
        <v>1</v>
      </c>
      <c r="O9" s="13">
        <v>0</v>
      </c>
      <c r="P9" s="13">
        <v>1</v>
      </c>
      <c r="Q9" s="13">
        <v>1</v>
      </c>
      <c r="R9" s="13">
        <v>0</v>
      </c>
      <c r="S9" s="13">
        <v>0</v>
      </c>
      <c r="T9" s="13">
        <f t="shared" si="0"/>
        <v>18</v>
      </c>
      <c r="U9" s="13" t="s">
        <v>192</v>
      </c>
    </row>
    <row r="10" spans="1:21" s="21" customFormat="1" ht="12.75" x14ac:dyDescent="0.2">
      <c r="A10" s="23">
        <v>807</v>
      </c>
      <c r="B10" s="26" t="s">
        <v>169</v>
      </c>
      <c r="C10" s="26" t="s">
        <v>170</v>
      </c>
      <c r="D10" s="23">
        <v>158027</v>
      </c>
      <c r="E10" s="26" t="s">
        <v>50</v>
      </c>
      <c r="F10" s="26" t="s">
        <v>84</v>
      </c>
      <c r="G10" s="30" t="s">
        <v>0</v>
      </c>
      <c r="H10" s="13">
        <v>0</v>
      </c>
      <c r="I10" s="13">
        <v>1</v>
      </c>
      <c r="J10" s="13">
        <v>0</v>
      </c>
      <c r="K10" s="13">
        <v>6</v>
      </c>
      <c r="L10" s="13">
        <v>4</v>
      </c>
      <c r="M10" s="13">
        <v>8</v>
      </c>
      <c r="N10" s="13">
        <v>3</v>
      </c>
      <c r="O10" s="13">
        <v>2</v>
      </c>
      <c r="P10" s="13">
        <v>1</v>
      </c>
      <c r="Q10" s="13">
        <v>3</v>
      </c>
      <c r="R10" s="13">
        <v>2</v>
      </c>
      <c r="S10" s="13">
        <v>0</v>
      </c>
      <c r="T10" s="13">
        <f t="shared" si="0"/>
        <v>30</v>
      </c>
      <c r="U10" s="13" t="s">
        <v>193</v>
      </c>
    </row>
    <row r="11" spans="1:21" s="21" customFormat="1" ht="12.75" x14ac:dyDescent="0.2">
      <c r="A11" s="23">
        <v>802</v>
      </c>
      <c r="B11" s="24" t="s">
        <v>157</v>
      </c>
      <c r="C11" s="24" t="s">
        <v>158</v>
      </c>
      <c r="D11" s="23">
        <v>143205</v>
      </c>
      <c r="E11" s="24" t="s">
        <v>50</v>
      </c>
      <c r="F11" s="24" t="s">
        <v>159</v>
      </c>
      <c r="G11" s="28" t="s">
        <v>133</v>
      </c>
      <c r="H11" s="13">
        <v>3</v>
      </c>
      <c r="I11" s="13">
        <v>7</v>
      </c>
      <c r="J11" s="13">
        <v>0</v>
      </c>
      <c r="K11" s="13">
        <v>11</v>
      </c>
      <c r="L11" s="13">
        <v>4</v>
      </c>
      <c r="M11" s="13">
        <v>15</v>
      </c>
      <c r="N11" s="13">
        <v>0</v>
      </c>
      <c r="O11" s="13">
        <v>1</v>
      </c>
      <c r="P11" s="13">
        <v>7</v>
      </c>
      <c r="Q11" s="13">
        <v>2</v>
      </c>
      <c r="R11" s="13">
        <v>1</v>
      </c>
      <c r="S11" s="13">
        <v>1</v>
      </c>
      <c r="T11" s="13">
        <f t="shared" si="0"/>
        <v>52</v>
      </c>
      <c r="U11" s="13" t="s">
        <v>194</v>
      </c>
    </row>
    <row r="12" spans="1:21" s="21" customFormat="1" ht="12.75" x14ac:dyDescent="0.2">
      <c r="A12" s="8" t="str">
        <f>("307")</f>
        <v>307</v>
      </c>
      <c r="B12" s="9" t="s">
        <v>57</v>
      </c>
      <c r="C12" s="9" t="s">
        <v>105</v>
      </c>
      <c r="D12" s="8" t="str">
        <f>("181769")</f>
        <v>181769</v>
      </c>
      <c r="E12" s="9" t="s">
        <v>50</v>
      </c>
      <c r="F12" s="9" t="s">
        <v>106</v>
      </c>
      <c r="G12" s="17" t="s">
        <v>62</v>
      </c>
      <c r="H12" s="13">
        <v>4</v>
      </c>
      <c r="I12" s="13">
        <v>11</v>
      </c>
      <c r="J12" s="13">
        <v>8</v>
      </c>
      <c r="K12" s="13">
        <v>7</v>
      </c>
      <c r="L12" s="13">
        <v>3</v>
      </c>
      <c r="M12" s="13">
        <v>6</v>
      </c>
      <c r="N12" s="13">
        <v>3</v>
      </c>
      <c r="O12" s="13">
        <v>5</v>
      </c>
      <c r="P12" s="13">
        <v>0</v>
      </c>
      <c r="Q12" s="13">
        <v>6</v>
      </c>
      <c r="R12" s="13">
        <v>7</v>
      </c>
      <c r="S12" s="13">
        <v>11</v>
      </c>
      <c r="T12" s="13">
        <f t="shared" si="0"/>
        <v>71</v>
      </c>
      <c r="U12" s="13" t="s">
        <v>195</v>
      </c>
    </row>
    <row r="13" spans="1:21" s="21" customFormat="1" ht="12.75" x14ac:dyDescent="0.2">
      <c r="A13" s="8" t="str">
        <f>("69")</f>
        <v>69</v>
      </c>
      <c r="B13" s="9" t="s">
        <v>49</v>
      </c>
      <c r="C13" s="9" t="s">
        <v>44</v>
      </c>
      <c r="D13" s="8" t="str">
        <f>("181642")</f>
        <v>181642</v>
      </c>
      <c r="E13" s="9" t="s">
        <v>50</v>
      </c>
      <c r="F13" s="9" t="s">
        <v>51</v>
      </c>
      <c r="G13" s="17" t="s">
        <v>0</v>
      </c>
      <c r="H13" s="13">
        <v>6</v>
      </c>
      <c r="I13" s="13">
        <v>4</v>
      </c>
      <c r="J13" s="13">
        <v>4</v>
      </c>
      <c r="K13" s="13">
        <v>5</v>
      </c>
      <c r="L13" s="13">
        <v>9</v>
      </c>
      <c r="M13" s="13">
        <v>6</v>
      </c>
      <c r="N13" s="13">
        <v>9</v>
      </c>
      <c r="O13" s="13">
        <v>5</v>
      </c>
      <c r="P13" s="13">
        <v>7</v>
      </c>
      <c r="Q13" s="13">
        <v>6</v>
      </c>
      <c r="R13" s="13">
        <v>6</v>
      </c>
      <c r="S13" s="13">
        <v>6</v>
      </c>
      <c r="T13" s="13">
        <f t="shared" si="0"/>
        <v>73</v>
      </c>
      <c r="U13" s="13" t="s">
        <v>196</v>
      </c>
    </row>
    <row r="14" spans="1:21" s="21" customFormat="1" ht="12.75" x14ac:dyDescent="0.2">
      <c r="A14" s="23"/>
      <c r="B14" s="26"/>
      <c r="C14" s="26"/>
      <c r="D14" s="23"/>
      <c r="E14" s="26"/>
      <c r="F14" s="26"/>
      <c r="G14" s="30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s="21" customFormat="1" ht="12.75" x14ac:dyDescent="0.2">
      <c r="A15" s="8" t="str">
        <f>("389")</f>
        <v>389</v>
      </c>
      <c r="B15" s="9" t="s">
        <v>204</v>
      </c>
      <c r="C15" s="9" t="s">
        <v>117</v>
      </c>
      <c r="D15" s="8" t="str">
        <f>("203913")</f>
        <v>203913</v>
      </c>
      <c r="E15" s="9" t="s">
        <v>65</v>
      </c>
      <c r="F15" s="9" t="s">
        <v>118</v>
      </c>
      <c r="G15" s="17" t="s">
        <v>0</v>
      </c>
      <c r="H15" s="13">
        <v>0</v>
      </c>
      <c r="I15" s="13">
        <v>0</v>
      </c>
      <c r="J15" s="13">
        <v>0</v>
      </c>
      <c r="K15" s="13">
        <v>5</v>
      </c>
      <c r="L15" s="13">
        <v>2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1</v>
      </c>
      <c r="S15" s="13">
        <v>0</v>
      </c>
      <c r="T15" s="13">
        <f t="shared" ref="T15:T25" si="1">SUM(H15:S15)</f>
        <v>8</v>
      </c>
      <c r="U15" s="13" t="s">
        <v>190</v>
      </c>
    </row>
    <row r="16" spans="1:21" s="21" customFormat="1" ht="12.75" x14ac:dyDescent="0.2">
      <c r="A16" s="8" t="str">
        <f>("395")</f>
        <v>395</v>
      </c>
      <c r="B16" s="9" t="s">
        <v>122</v>
      </c>
      <c r="C16" s="9" t="s">
        <v>123</v>
      </c>
      <c r="D16" s="8" t="str">
        <f>("204244")</f>
        <v>204244</v>
      </c>
      <c r="E16" s="9" t="s">
        <v>65</v>
      </c>
      <c r="F16" s="9" t="s">
        <v>56</v>
      </c>
      <c r="G16" s="17" t="s">
        <v>0</v>
      </c>
      <c r="H16" s="13">
        <v>1</v>
      </c>
      <c r="I16" s="13">
        <v>0</v>
      </c>
      <c r="J16" s="13">
        <v>0</v>
      </c>
      <c r="K16" s="13">
        <v>3</v>
      </c>
      <c r="L16" s="13">
        <v>4</v>
      </c>
      <c r="M16" s="13">
        <v>0</v>
      </c>
      <c r="N16" s="13">
        <v>1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f t="shared" si="1"/>
        <v>9</v>
      </c>
      <c r="U16" s="13" t="s">
        <v>191</v>
      </c>
    </row>
    <row r="17" spans="1:21" s="21" customFormat="1" ht="12.75" x14ac:dyDescent="0.2">
      <c r="A17" s="8" t="str">
        <f>("227")</f>
        <v>227</v>
      </c>
      <c r="B17" s="9" t="s">
        <v>57</v>
      </c>
      <c r="C17" s="9" t="s">
        <v>90</v>
      </c>
      <c r="D17" s="8" t="str">
        <f>("9306")</f>
        <v>9306</v>
      </c>
      <c r="E17" s="9" t="s">
        <v>65</v>
      </c>
      <c r="F17" s="9" t="s">
        <v>91</v>
      </c>
      <c r="G17" s="17" t="s">
        <v>0</v>
      </c>
      <c r="H17" s="13">
        <v>0</v>
      </c>
      <c r="I17" s="13">
        <v>0</v>
      </c>
      <c r="J17" s="13">
        <v>0</v>
      </c>
      <c r="K17" s="13">
        <v>2</v>
      </c>
      <c r="L17" s="13">
        <v>6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2</v>
      </c>
      <c r="T17" s="13">
        <f t="shared" si="1"/>
        <v>10</v>
      </c>
      <c r="U17" s="13" t="s">
        <v>192</v>
      </c>
    </row>
    <row r="18" spans="1:21" s="21" customFormat="1" ht="12.75" x14ac:dyDescent="0.2">
      <c r="A18" s="8" t="str">
        <f>("301")</f>
        <v>301</v>
      </c>
      <c r="B18" s="9" t="s">
        <v>102</v>
      </c>
      <c r="C18" s="9" t="s">
        <v>103</v>
      </c>
      <c r="D18" s="8" t="str">
        <f>("201527")</f>
        <v>201527</v>
      </c>
      <c r="E18" s="9" t="s">
        <v>65</v>
      </c>
      <c r="F18" s="9" t="s">
        <v>104</v>
      </c>
      <c r="G18" s="17" t="s">
        <v>0</v>
      </c>
      <c r="H18" s="13">
        <v>0</v>
      </c>
      <c r="I18" s="13">
        <v>5</v>
      </c>
      <c r="J18" s="13">
        <v>0</v>
      </c>
      <c r="K18" s="13">
        <v>2</v>
      </c>
      <c r="L18" s="13">
        <v>10</v>
      </c>
      <c r="M18" s="13">
        <v>0</v>
      </c>
      <c r="N18" s="13">
        <v>0</v>
      </c>
      <c r="O18" s="13">
        <v>0</v>
      </c>
      <c r="P18" s="13">
        <v>0</v>
      </c>
      <c r="Q18" s="13">
        <v>1</v>
      </c>
      <c r="R18" s="13">
        <v>0</v>
      </c>
      <c r="S18" s="13">
        <v>0</v>
      </c>
      <c r="T18" s="13">
        <f t="shared" si="1"/>
        <v>18</v>
      </c>
      <c r="U18" s="13" t="s">
        <v>193</v>
      </c>
    </row>
    <row r="19" spans="1:21" s="21" customFormat="1" ht="12.75" x14ac:dyDescent="0.2">
      <c r="A19" s="8" t="str">
        <f>("434")</f>
        <v>434</v>
      </c>
      <c r="B19" s="9" t="s">
        <v>127</v>
      </c>
      <c r="C19" s="9" t="s">
        <v>128</v>
      </c>
      <c r="D19" s="8" t="str">
        <f>("186529")</f>
        <v>186529</v>
      </c>
      <c r="E19" s="9" t="s">
        <v>65</v>
      </c>
      <c r="F19" s="9" t="s">
        <v>129</v>
      </c>
      <c r="G19" s="17" t="s">
        <v>0</v>
      </c>
      <c r="H19" s="13">
        <v>0</v>
      </c>
      <c r="I19" s="13">
        <v>0</v>
      </c>
      <c r="J19" s="13">
        <v>1</v>
      </c>
      <c r="K19" s="13">
        <v>6</v>
      </c>
      <c r="L19" s="13">
        <v>8</v>
      </c>
      <c r="M19" s="13">
        <v>0</v>
      </c>
      <c r="N19" s="13">
        <v>2</v>
      </c>
      <c r="O19" s="13">
        <v>0</v>
      </c>
      <c r="P19" s="13">
        <v>0</v>
      </c>
      <c r="Q19" s="13">
        <v>0</v>
      </c>
      <c r="R19" s="13">
        <v>2</v>
      </c>
      <c r="S19" s="13">
        <v>0</v>
      </c>
      <c r="T19" s="13">
        <f t="shared" si="1"/>
        <v>19</v>
      </c>
      <c r="U19" s="13" t="s">
        <v>194</v>
      </c>
    </row>
    <row r="20" spans="1:21" s="21" customFormat="1" ht="12.75" x14ac:dyDescent="0.2">
      <c r="A20" s="8" t="str">
        <f>("352")</f>
        <v>352</v>
      </c>
      <c r="B20" s="9" t="s">
        <v>112</v>
      </c>
      <c r="C20" s="9" t="s">
        <v>113</v>
      </c>
      <c r="D20" s="8" t="str">
        <f>("198100")</f>
        <v>198100</v>
      </c>
      <c r="E20" s="9" t="s">
        <v>65</v>
      </c>
      <c r="F20" s="9" t="s">
        <v>56</v>
      </c>
      <c r="G20" s="17" t="s">
        <v>0</v>
      </c>
      <c r="H20" s="13">
        <v>0</v>
      </c>
      <c r="I20" s="13">
        <v>5</v>
      </c>
      <c r="J20" s="13">
        <v>0</v>
      </c>
      <c r="K20" s="13">
        <v>1</v>
      </c>
      <c r="L20" s="13">
        <v>10</v>
      </c>
      <c r="M20" s="13">
        <v>0</v>
      </c>
      <c r="N20" s="13">
        <v>0</v>
      </c>
      <c r="O20" s="13">
        <v>1</v>
      </c>
      <c r="P20" s="13">
        <v>0</v>
      </c>
      <c r="Q20" s="13">
        <v>0</v>
      </c>
      <c r="R20" s="13">
        <v>5</v>
      </c>
      <c r="S20" s="13">
        <v>0</v>
      </c>
      <c r="T20" s="13">
        <f t="shared" si="1"/>
        <v>22</v>
      </c>
      <c r="U20" s="13" t="s">
        <v>195</v>
      </c>
    </row>
    <row r="21" spans="1:21" s="21" customFormat="1" ht="12.75" x14ac:dyDescent="0.2">
      <c r="A21" s="8" t="str">
        <f>("265")</f>
        <v>265</v>
      </c>
      <c r="B21" s="9" t="s">
        <v>98</v>
      </c>
      <c r="C21" s="9" t="s">
        <v>99</v>
      </c>
      <c r="D21" s="8" t="str">
        <f>("201706")</f>
        <v>201706</v>
      </c>
      <c r="E21" s="9" t="s">
        <v>65</v>
      </c>
      <c r="F21" s="9" t="s">
        <v>88</v>
      </c>
      <c r="G21" s="17" t="s">
        <v>0</v>
      </c>
      <c r="H21" s="13">
        <v>0</v>
      </c>
      <c r="I21" s="13">
        <v>3</v>
      </c>
      <c r="J21" s="13">
        <v>0</v>
      </c>
      <c r="K21" s="13">
        <v>4</v>
      </c>
      <c r="L21" s="13">
        <v>11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4</v>
      </c>
      <c r="S21" s="13">
        <v>1</v>
      </c>
      <c r="T21" s="13">
        <f t="shared" si="1"/>
        <v>23</v>
      </c>
      <c r="U21" s="13" t="s">
        <v>196</v>
      </c>
    </row>
    <row r="22" spans="1:21" s="21" customFormat="1" ht="12.75" x14ac:dyDescent="0.2">
      <c r="A22" s="8" t="str">
        <f>("455")</f>
        <v>455</v>
      </c>
      <c r="B22" s="9" t="s">
        <v>136</v>
      </c>
      <c r="C22" s="9" t="s">
        <v>137</v>
      </c>
      <c r="D22" s="8" t="str">
        <f>("207296")</f>
        <v>207296</v>
      </c>
      <c r="E22" s="9" t="s">
        <v>65</v>
      </c>
      <c r="F22" s="9" t="s">
        <v>138</v>
      </c>
      <c r="G22" s="17" t="s">
        <v>0</v>
      </c>
      <c r="H22" s="13">
        <v>0</v>
      </c>
      <c r="I22" s="13">
        <v>0</v>
      </c>
      <c r="J22" s="13">
        <v>0</v>
      </c>
      <c r="K22" s="13">
        <v>5</v>
      </c>
      <c r="L22" s="13">
        <v>6</v>
      </c>
      <c r="M22" s="13">
        <v>4</v>
      </c>
      <c r="N22" s="13">
        <v>0</v>
      </c>
      <c r="O22" s="13">
        <v>0</v>
      </c>
      <c r="P22" s="13">
        <v>2</v>
      </c>
      <c r="Q22" s="13">
        <v>5</v>
      </c>
      <c r="R22" s="13">
        <v>1</v>
      </c>
      <c r="S22" s="13">
        <v>1</v>
      </c>
      <c r="T22" s="13">
        <f t="shared" si="1"/>
        <v>24</v>
      </c>
      <c r="U22" s="13" t="s">
        <v>197</v>
      </c>
    </row>
    <row r="23" spans="1:21" s="21" customFormat="1" ht="12.75" x14ac:dyDescent="0.2">
      <c r="A23" s="8" t="str">
        <f>("401")</f>
        <v>401</v>
      </c>
      <c r="B23" s="9" t="s">
        <v>124</v>
      </c>
      <c r="C23" s="9" t="s">
        <v>125</v>
      </c>
      <c r="D23" s="8" t="str">
        <f>("136575")</f>
        <v>136575</v>
      </c>
      <c r="E23" s="9" t="s">
        <v>65</v>
      </c>
      <c r="F23" s="9" t="s">
        <v>126</v>
      </c>
      <c r="G23" s="17" t="s">
        <v>0</v>
      </c>
      <c r="H23" s="13">
        <v>0</v>
      </c>
      <c r="I23" s="13">
        <v>0</v>
      </c>
      <c r="J23" s="13">
        <v>7</v>
      </c>
      <c r="K23" s="13">
        <v>1</v>
      </c>
      <c r="L23" s="13">
        <v>9</v>
      </c>
      <c r="M23" s="13">
        <v>7</v>
      </c>
      <c r="N23" s="13">
        <v>1</v>
      </c>
      <c r="O23" s="13">
        <v>0</v>
      </c>
      <c r="P23" s="13">
        <v>5</v>
      </c>
      <c r="Q23" s="13">
        <v>0</v>
      </c>
      <c r="R23" s="13">
        <v>0</v>
      </c>
      <c r="S23" s="13">
        <v>1</v>
      </c>
      <c r="T23" s="13">
        <f t="shared" si="1"/>
        <v>31</v>
      </c>
      <c r="U23" s="13" t="s">
        <v>198</v>
      </c>
    </row>
    <row r="24" spans="1:21" s="21" customFormat="1" ht="12.75" x14ac:dyDescent="0.2">
      <c r="A24" s="8" t="str">
        <f>("87")</f>
        <v>87</v>
      </c>
      <c r="B24" s="9" t="s">
        <v>63</v>
      </c>
      <c r="C24" s="9" t="s">
        <v>64</v>
      </c>
      <c r="D24" s="8" t="str">
        <f>("198374")</f>
        <v>198374</v>
      </c>
      <c r="E24" s="9" t="s">
        <v>65</v>
      </c>
      <c r="F24" s="9" t="s">
        <v>66</v>
      </c>
      <c r="G24" s="17" t="s">
        <v>0</v>
      </c>
      <c r="H24" s="13">
        <v>2</v>
      </c>
      <c r="I24" s="13">
        <v>1</v>
      </c>
      <c r="J24" s="13">
        <v>5</v>
      </c>
      <c r="K24" s="13">
        <v>3</v>
      </c>
      <c r="L24" s="13">
        <v>11</v>
      </c>
      <c r="M24" s="13">
        <v>7</v>
      </c>
      <c r="N24" s="13">
        <v>0</v>
      </c>
      <c r="O24" s="13">
        <v>0</v>
      </c>
      <c r="P24" s="13">
        <v>1</v>
      </c>
      <c r="Q24" s="13">
        <v>0</v>
      </c>
      <c r="R24" s="13">
        <v>0</v>
      </c>
      <c r="S24" s="13">
        <v>2</v>
      </c>
      <c r="T24" s="13">
        <f t="shared" si="1"/>
        <v>32</v>
      </c>
      <c r="U24" s="13" t="s">
        <v>199</v>
      </c>
    </row>
    <row r="25" spans="1:21" s="21" customFormat="1" ht="12.75" x14ac:dyDescent="0.2">
      <c r="A25" s="8" t="str">
        <f>("457")</f>
        <v>457</v>
      </c>
      <c r="B25" s="9" t="s">
        <v>46</v>
      </c>
      <c r="C25" s="9" t="s">
        <v>139</v>
      </c>
      <c r="D25" s="8" t="str">
        <f>("207301")</f>
        <v>207301</v>
      </c>
      <c r="E25" s="9" t="s">
        <v>65</v>
      </c>
      <c r="F25" s="9" t="s">
        <v>140</v>
      </c>
      <c r="G25" s="17" t="s">
        <v>0</v>
      </c>
      <c r="H25" s="13">
        <v>5</v>
      </c>
      <c r="I25" s="13">
        <v>1</v>
      </c>
      <c r="J25" s="13">
        <v>3</v>
      </c>
      <c r="K25" s="13">
        <v>11</v>
      </c>
      <c r="L25" s="13">
        <v>11</v>
      </c>
      <c r="M25" s="13">
        <v>7</v>
      </c>
      <c r="N25" s="13">
        <v>0</v>
      </c>
      <c r="O25" s="13">
        <v>5</v>
      </c>
      <c r="P25" s="13">
        <v>15</v>
      </c>
      <c r="Q25" s="13">
        <v>0</v>
      </c>
      <c r="R25" s="13">
        <v>8</v>
      </c>
      <c r="S25" s="13">
        <v>8</v>
      </c>
      <c r="T25" s="13">
        <f t="shared" si="1"/>
        <v>74</v>
      </c>
      <c r="U25" s="13" t="s">
        <v>200</v>
      </c>
    </row>
    <row r="26" spans="1:21" s="21" customFormat="1" ht="12.75" x14ac:dyDescent="0.2">
      <c r="A26" s="8"/>
      <c r="B26" s="9"/>
      <c r="C26" s="9"/>
      <c r="D26" s="8"/>
      <c r="E26" s="9"/>
      <c r="F26" s="9"/>
      <c r="G26" s="17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s="21" customFormat="1" ht="12.75" x14ac:dyDescent="0.2">
      <c r="A27" s="8" t="str">
        <f>("174")</f>
        <v>174</v>
      </c>
      <c r="B27" s="9" t="s">
        <v>76</v>
      </c>
      <c r="C27" s="9" t="s">
        <v>77</v>
      </c>
      <c r="D27" s="8" t="str">
        <f>("107604")</f>
        <v>107604</v>
      </c>
      <c r="E27" s="9" t="s">
        <v>72</v>
      </c>
      <c r="F27" s="9" t="s">
        <v>78</v>
      </c>
      <c r="G27" s="17" t="s">
        <v>62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2</v>
      </c>
      <c r="N27" s="13">
        <v>0</v>
      </c>
      <c r="O27" s="13">
        <v>0</v>
      </c>
      <c r="P27" s="13">
        <v>1</v>
      </c>
      <c r="Q27" s="13">
        <v>0</v>
      </c>
      <c r="R27" s="13">
        <v>0</v>
      </c>
      <c r="S27" s="13">
        <v>2</v>
      </c>
      <c r="T27" s="13">
        <f>SUM(H27:S27)</f>
        <v>5</v>
      </c>
      <c r="U27" s="13" t="s">
        <v>190</v>
      </c>
    </row>
    <row r="28" spans="1:21" s="21" customFormat="1" ht="12.75" x14ac:dyDescent="0.2">
      <c r="A28" s="8" t="str">
        <f>("81")</f>
        <v>81</v>
      </c>
      <c r="B28" s="9" t="s">
        <v>57</v>
      </c>
      <c r="C28" s="9" t="s">
        <v>58</v>
      </c>
      <c r="D28" s="8" t="str">
        <f>("108648")</f>
        <v>108648</v>
      </c>
      <c r="E28" s="9" t="s">
        <v>72</v>
      </c>
      <c r="F28" s="9" t="s">
        <v>26</v>
      </c>
      <c r="G28" s="17" t="s">
        <v>0</v>
      </c>
      <c r="H28" s="13">
        <v>1</v>
      </c>
      <c r="I28" s="13">
        <v>13</v>
      </c>
      <c r="J28" s="13">
        <v>13</v>
      </c>
      <c r="K28" s="13">
        <v>10</v>
      </c>
      <c r="L28" s="13">
        <v>13</v>
      </c>
      <c r="M28" s="13">
        <v>5</v>
      </c>
      <c r="N28" s="13">
        <v>8</v>
      </c>
      <c r="O28" s="13">
        <v>9</v>
      </c>
      <c r="P28" s="13">
        <v>10</v>
      </c>
      <c r="Q28" s="13">
        <v>9</v>
      </c>
      <c r="R28" s="13">
        <v>11</v>
      </c>
      <c r="S28" s="13">
        <v>6</v>
      </c>
      <c r="T28" s="13">
        <f>SUM(H28:S28)</f>
        <v>108</v>
      </c>
      <c r="U28" s="13" t="s">
        <v>191</v>
      </c>
    </row>
    <row r="29" spans="1:21" s="21" customFormat="1" ht="12.75" x14ac:dyDescent="0.2">
      <c r="A29" s="8" t="str">
        <f>("126")</f>
        <v>126</v>
      </c>
      <c r="B29" s="9" t="s">
        <v>70</v>
      </c>
      <c r="C29" s="9" t="s">
        <v>71</v>
      </c>
      <c r="D29" s="8" t="str">
        <f>("85124")</f>
        <v>85124</v>
      </c>
      <c r="E29" s="9" t="s">
        <v>72</v>
      </c>
      <c r="F29" s="9" t="s">
        <v>73</v>
      </c>
      <c r="G29" s="17" t="s">
        <v>0</v>
      </c>
      <c r="H29" s="13" t="s">
        <v>187</v>
      </c>
      <c r="I29" s="13" t="s">
        <v>187</v>
      </c>
      <c r="J29" s="13" t="s">
        <v>187</v>
      </c>
      <c r="K29" s="13" t="s">
        <v>187</v>
      </c>
      <c r="L29" s="13" t="s">
        <v>187</v>
      </c>
      <c r="M29" s="13" t="s">
        <v>187</v>
      </c>
      <c r="N29" s="13" t="s">
        <v>187</v>
      </c>
      <c r="O29" s="13" t="s">
        <v>187</v>
      </c>
      <c r="P29" s="13" t="s">
        <v>187</v>
      </c>
      <c r="Q29" s="13" t="s">
        <v>187</v>
      </c>
      <c r="R29" s="13" t="s">
        <v>187</v>
      </c>
      <c r="S29" s="13" t="s">
        <v>187</v>
      </c>
      <c r="T29" s="13" t="s">
        <v>187</v>
      </c>
      <c r="U29" s="13" t="s">
        <v>187</v>
      </c>
    </row>
    <row r="30" spans="1:21" s="21" customFormat="1" ht="12.75" x14ac:dyDescent="0.2">
      <c r="A30" s="8"/>
      <c r="B30" s="9"/>
      <c r="C30" s="9"/>
      <c r="D30" s="8"/>
      <c r="E30" s="9"/>
      <c r="F30" s="9"/>
      <c r="G30" s="17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21" s="21" customFormat="1" ht="12.75" x14ac:dyDescent="0.2">
      <c r="A31" s="23">
        <v>801</v>
      </c>
      <c r="B31" s="24" t="s">
        <v>63</v>
      </c>
      <c r="C31" s="24" t="s">
        <v>155</v>
      </c>
      <c r="D31" s="23">
        <v>159355</v>
      </c>
      <c r="E31" s="9" t="s">
        <v>11</v>
      </c>
      <c r="F31" s="24" t="s">
        <v>156</v>
      </c>
      <c r="G31" s="28" t="s">
        <v>0</v>
      </c>
      <c r="H31" s="13">
        <v>0</v>
      </c>
      <c r="I31" s="13">
        <v>0</v>
      </c>
      <c r="J31" s="13">
        <v>0</v>
      </c>
      <c r="K31" s="13">
        <v>0</v>
      </c>
      <c r="L31" s="13">
        <v>3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f t="shared" ref="T31:T36" si="2">SUM(H31:S31)</f>
        <v>3</v>
      </c>
      <c r="U31" s="13" t="s">
        <v>190</v>
      </c>
    </row>
    <row r="32" spans="1:21" s="21" customFormat="1" ht="12.75" x14ac:dyDescent="0.2">
      <c r="A32" s="8" t="str">
        <f>("1")</f>
        <v>1</v>
      </c>
      <c r="B32" s="9" t="s">
        <v>9</v>
      </c>
      <c r="C32" s="9" t="s">
        <v>10</v>
      </c>
      <c r="D32" s="8" t="str">
        <f>("49772")</f>
        <v>49772</v>
      </c>
      <c r="E32" s="9" t="s">
        <v>11</v>
      </c>
      <c r="F32" s="9" t="s">
        <v>12</v>
      </c>
      <c r="G32" s="17" t="s">
        <v>0</v>
      </c>
      <c r="H32" s="13">
        <v>0</v>
      </c>
      <c r="I32" s="13">
        <v>5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f t="shared" si="2"/>
        <v>5</v>
      </c>
      <c r="U32" s="13" t="s">
        <v>191</v>
      </c>
    </row>
    <row r="33" spans="1:21" s="21" customFormat="1" ht="12.75" x14ac:dyDescent="0.2">
      <c r="A33" s="8" t="str">
        <f>("500")</f>
        <v>500</v>
      </c>
      <c r="B33" s="9" t="s">
        <v>148</v>
      </c>
      <c r="C33" s="9" t="s">
        <v>149</v>
      </c>
      <c r="D33" s="8" t="str">
        <f>("10955")</f>
        <v>10955</v>
      </c>
      <c r="E33" s="9" t="s">
        <v>11</v>
      </c>
      <c r="F33" s="9" t="s">
        <v>101</v>
      </c>
      <c r="G33" s="17" t="s">
        <v>0</v>
      </c>
      <c r="H33" s="13">
        <v>0</v>
      </c>
      <c r="I33" s="13">
        <v>0</v>
      </c>
      <c r="J33" s="13">
        <v>0</v>
      </c>
      <c r="K33" s="13">
        <v>5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f t="shared" si="2"/>
        <v>5</v>
      </c>
      <c r="U33" s="13" t="s">
        <v>191</v>
      </c>
    </row>
    <row r="34" spans="1:21" s="21" customFormat="1" ht="12.75" x14ac:dyDescent="0.2">
      <c r="A34" s="8" t="str">
        <f>("204")</f>
        <v>204</v>
      </c>
      <c r="B34" s="9" t="s">
        <v>86</v>
      </c>
      <c r="C34" s="9" t="s">
        <v>87</v>
      </c>
      <c r="D34" s="8" t="str">
        <f>("117188")</f>
        <v>117188</v>
      </c>
      <c r="E34" s="9" t="s">
        <v>11</v>
      </c>
      <c r="F34" s="9" t="s">
        <v>88</v>
      </c>
      <c r="G34" s="17" t="s">
        <v>89</v>
      </c>
      <c r="H34" s="13">
        <v>0</v>
      </c>
      <c r="I34" s="13">
        <v>0</v>
      </c>
      <c r="J34" s="13">
        <v>1</v>
      </c>
      <c r="K34" s="13">
        <v>0</v>
      </c>
      <c r="L34" s="13">
        <v>1</v>
      </c>
      <c r="M34" s="13">
        <v>0</v>
      </c>
      <c r="N34" s="13">
        <v>0</v>
      </c>
      <c r="O34" s="13">
        <v>5</v>
      </c>
      <c r="P34" s="13">
        <v>0</v>
      </c>
      <c r="Q34" s="13">
        <v>0</v>
      </c>
      <c r="R34" s="13">
        <v>0</v>
      </c>
      <c r="S34" s="13">
        <v>1</v>
      </c>
      <c r="T34" s="13">
        <f t="shared" si="2"/>
        <v>8</v>
      </c>
      <c r="U34" s="13" t="s">
        <v>192</v>
      </c>
    </row>
    <row r="35" spans="1:21" s="21" customFormat="1" ht="12.75" x14ac:dyDescent="0.2">
      <c r="A35" s="8" t="str">
        <f>("345")</f>
        <v>345</v>
      </c>
      <c r="B35" s="9" t="s">
        <v>110</v>
      </c>
      <c r="C35" s="9" t="s">
        <v>111</v>
      </c>
      <c r="D35" s="8" t="str">
        <f>("201725")</f>
        <v>201725</v>
      </c>
      <c r="E35" s="9" t="s">
        <v>11</v>
      </c>
      <c r="F35" s="9" t="s">
        <v>154</v>
      </c>
      <c r="G35" s="17" t="s">
        <v>0</v>
      </c>
      <c r="H35" s="13">
        <v>0</v>
      </c>
      <c r="I35" s="13">
        <v>1</v>
      </c>
      <c r="J35" s="13">
        <v>0</v>
      </c>
      <c r="K35" s="13">
        <v>0</v>
      </c>
      <c r="L35" s="13">
        <v>7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1</v>
      </c>
      <c r="T35" s="13">
        <f t="shared" si="2"/>
        <v>9</v>
      </c>
      <c r="U35" s="13" t="s">
        <v>193</v>
      </c>
    </row>
    <row r="36" spans="1:21" s="21" customFormat="1" ht="12.75" x14ac:dyDescent="0.2">
      <c r="A36" s="8" t="str">
        <f>("24")</f>
        <v>24</v>
      </c>
      <c r="B36" s="9" t="s">
        <v>24</v>
      </c>
      <c r="C36" s="9" t="s">
        <v>25</v>
      </c>
      <c r="D36" s="8" t="str">
        <f>("177394")</f>
        <v>177394</v>
      </c>
      <c r="E36" s="9" t="s">
        <v>11</v>
      </c>
      <c r="F36" s="9" t="s">
        <v>26</v>
      </c>
      <c r="G36" s="17" t="s">
        <v>0</v>
      </c>
      <c r="H36" s="13">
        <v>0</v>
      </c>
      <c r="I36" s="13">
        <v>0</v>
      </c>
      <c r="J36" s="13">
        <v>0</v>
      </c>
      <c r="K36" s="13">
        <v>8</v>
      </c>
      <c r="L36" s="13">
        <v>4</v>
      </c>
      <c r="M36" s="13">
        <v>0</v>
      </c>
      <c r="N36" s="13">
        <v>0</v>
      </c>
      <c r="O36" s="13">
        <v>5</v>
      </c>
      <c r="P36" s="13">
        <v>0</v>
      </c>
      <c r="Q36" s="13">
        <v>0</v>
      </c>
      <c r="R36" s="13">
        <v>0</v>
      </c>
      <c r="S36" s="13">
        <v>0</v>
      </c>
      <c r="T36" s="13">
        <f t="shared" si="2"/>
        <v>17</v>
      </c>
      <c r="U36" s="13" t="s">
        <v>194</v>
      </c>
    </row>
    <row r="37" spans="1:21" s="21" customFormat="1" ht="12.75" x14ac:dyDescent="0.2">
      <c r="A37" s="8" t="str">
        <f>("76")</f>
        <v>76</v>
      </c>
      <c r="B37" s="9" t="s">
        <v>27</v>
      </c>
      <c r="C37" s="9" t="s">
        <v>52</v>
      </c>
      <c r="D37" s="8" t="str">
        <f>("18")</f>
        <v>18</v>
      </c>
      <c r="E37" s="9" t="s">
        <v>11</v>
      </c>
      <c r="F37" s="9" t="s">
        <v>53</v>
      </c>
      <c r="G37" s="17" t="s">
        <v>0</v>
      </c>
      <c r="H37" s="13" t="s">
        <v>186</v>
      </c>
      <c r="I37" s="13" t="s">
        <v>186</v>
      </c>
      <c r="J37" s="13" t="s">
        <v>186</v>
      </c>
      <c r="K37" s="13" t="s">
        <v>186</v>
      </c>
      <c r="L37" s="13" t="s">
        <v>186</v>
      </c>
      <c r="M37" s="13" t="s">
        <v>186</v>
      </c>
      <c r="N37" s="13" t="s">
        <v>186</v>
      </c>
      <c r="O37" s="13" t="s">
        <v>186</v>
      </c>
      <c r="P37" s="13" t="s">
        <v>186</v>
      </c>
      <c r="Q37" s="13" t="s">
        <v>186</v>
      </c>
      <c r="R37" s="13" t="s">
        <v>186</v>
      </c>
      <c r="S37" s="13" t="s">
        <v>186</v>
      </c>
      <c r="T37" s="13" t="s">
        <v>186</v>
      </c>
      <c r="U37" s="13" t="s">
        <v>186</v>
      </c>
    </row>
    <row r="38" spans="1:21" s="21" customFormat="1" ht="12.75" x14ac:dyDescent="0.2">
      <c r="A38" s="8" t="str">
        <f>("253")</f>
        <v>253</v>
      </c>
      <c r="B38" s="9" t="s">
        <v>95</v>
      </c>
      <c r="C38" s="9" t="s">
        <v>96</v>
      </c>
      <c r="D38" s="8" t="str">
        <f>("134670")</f>
        <v>134670</v>
      </c>
      <c r="E38" s="9" t="s">
        <v>11</v>
      </c>
      <c r="F38" s="9" t="s">
        <v>97</v>
      </c>
      <c r="G38" s="17" t="s">
        <v>0</v>
      </c>
      <c r="H38" s="13" t="s">
        <v>186</v>
      </c>
      <c r="I38" s="13" t="s">
        <v>186</v>
      </c>
      <c r="J38" s="13" t="s">
        <v>186</v>
      </c>
      <c r="K38" s="13" t="s">
        <v>186</v>
      </c>
      <c r="L38" s="13" t="s">
        <v>186</v>
      </c>
      <c r="M38" s="13" t="s">
        <v>186</v>
      </c>
      <c r="N38" s="13" t="s">
        <v>186</v>
      </c>
      <c r="O38" s="13" t="s">
        <v>186</v>
      </c>
      <c r="P38" s="13" t="s">
        <v>186</v>
      </c>
      <c r="Q38" s="13" t="s">
        <v>186</v>
      </c>
      <c r="R38" s="13" t="s">
        <v>186</v>
      </c>
      <c r="S38" s="13" t="s">
        <v>186</v>
      </c>
      <c r="T38" s="13" t="s">
        <v>186</v>
      </c>
      <c r="U38" s="13" t="s">
        <v>186</v>
      </c>
    </row>
    <row r="39" spans="1:21" s="21" customFormat="1" ht="12.75" x14ac:dyDescent="0.2">
      <c r="A39" s="8" t="str">
        <f>("298")</f>
        <v>298</v>
      </c>
      <c r="B39" s="9" t="s">
        <v>9</v>
      </c>
      <c r="C39" s="9" t="s">
        <v>100</v>
      </c>
      <c r="D39" s="8" t="str">
        <f>("201480")</f>
        <v>201480</v>
      </c>
      <c r="E39" s="9" t="s">
        <v>11</v>
      </c>
      <c r="F39" s="9" t="s">
        <v>101</v>
      </c>
      <c r="G39" s="17" t="s">
        <v>0</v>
      </c>
      <c r="H39" s="13" t="s">
        <v>187</v>
      </c>
      <c r="I39" s="13" t="s">
        <v>187</v>
      </c>
      <c r="J39" s="13" t="s">
        <v>187</v>
      </c>
      <c r="K39" s="13" t="s">
        <v>187</v>
      </c>
      <c r="L39" s="13" t="s">
        <v>187</v>
      </c>
      <c r="M39" s="13" t="s">
        <v>187</v>
      </c>
      <c r="N39" s="13" t="s">
        <v>187</v>
      </c>
      <c r="O39" s="13" t="s">
        <v>187</v>
      </c>
      <c r="P39" s="13" t="s">
        <v>187</v>
      </c>
      <c r="Q39" s="13" t="s">
        <v>187</v>
      </c>
      <c r="R39" s="13" t="s">
        <v>187</v>
      </c>
      <c r="S39" s="13" t="s">
        <v>187</v>
      </c>
      <c r="T39" s="13" t="s">
        <v>187</v>
      </c>
      <c r="U39" s="13" t="s">
        <v>187</v>
      </c>
    </row>
    <row r="40" spans="1:21" s="21" customFormat="1" ht="12.75" x14ac:dyDescent="0.2">
      <c r="A40" s="23"/>
      <c r="B40" s="24"/>
      <c r="C40" s="24"/>
      <c r="D40" s="23"/>
      <c r="E40" s="9"/>
      <c r="F40" s="24"/>
      <c r="G40" s="28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 s="21" customFormat="1" ht="12.75" x14ac:dyDescent="0.2">
      <c r="A41" s="8" t="str">
        <f>("461")</f>
        <v>461</v>
      </c>
      <c r="B41" s="9" t="s">
        <v>145</v>
      </c>
      <c r="C41" s="9" t="s">
        <v>142</v>
      </c>
      <c r="D41" s="8" t="str">
        <f>("207455")</f>
        <v>207455</v>
      </c>
      <c r="E41" s="9" t="s">
        <v>116</v>
      </c>
      <c r="F41" s="9" t="s">
        <v>146</v>
      </c>
      <c r="G41" s="17" t="s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f>SUM(H41:S41)</f>
        <v>0</v>
      </c>
      <c r="U41" s="13" t="s">
        <v>190</v>
      </c>
    </row>
    <row r="42" spans="1:21" s="21" customFormat="1" ht="12.75" x14ac:dyDescent="0.2">
      <c r="A42" s="23">
        <v>805</v>
      </c>
      <c r="B42" s="26" t="s">
        <v>166</v>
      </c>
      <c r="C42" s="26" t="s">
        <v>167</v>
      </c>
      <c r="D42" s="23">
        <v>150144</v>
      </c>
      <c r="E42" s="26" t="s">
        <v>116</v>
      </c>
      <c r="F42" s="26" t="s">
        <v>69</v>
      </c>
      <c r="G42" s="28" t="s">
        <v>0</v>
      </c>
      <c r="H42" s="13">
        <v>0</v>
      </c>
      <c r="I42" s="13">
        <v>0</v>
      </c>
      <c r="J42" s="13">
        <v>6</v>
      </c>
      <c r="K42" s="13">
        <v>0</v>
      </c>
      <c r="L42" s="13">
        <v>3</v>
      </c>
      <c r="M42" s="13">
        <v>2</v>
      </c>
      <c r="N42" s="13">
        <v>0</v>
      </c>
      <c r="O42" s="13">
        <v>0</v>
      </c>
      <c r="P42" s="13">
        <v>1</v>
      </c>
      <c r="Q42" s="13">
        <v>0</v>
      </c>
      <c r="R42" s="13">
        <v>0</v>
      </c>
      <c r="S42" s="13">
        <v>0</v>
      </c>
      <c r="T42" s="13">
        <f>SUM(H42:S42)</f>
        <v>12</v>
      </c>
      <c r="U42" s="13" t="s">
        <v>191</v>
      </c>
    </row>
    <row r="43" spans="1:21" s="21" customFormat="1" ht="12.75" x14ac:dyDescent="0.2">
      <c r="A43" s="8" t="str">
        <f>("458")</f>
        <v>458</v>
      </c>
      <c r="B43" s="9" t="s">
        <v>141</v>
      </c>
      <c r="C43" s="9" t="s">
        <v>142</v>
      </c>
      <c r="D43" s="8" t="str">
        <f>("207386")</f>
        <v>207386</v>
      </c>
      <c r="E43" s="9" t="s">
        <v>116</v>
      </c>
      <c r="F43" s="9" t="s">
        <v>69</v>
      </c>
      <c r="G43" s="17" t="s">
        <v>0</v>
      </c>
      <c r="H43" s="13">
        <v>0</v>
      </c>
      <c r="I43" s="13">
        <v>0</v>
      </c>
      <c r="J43" s="13">
        <v>6</v>
      </c>
      <c r="K43" s="13">
        <v>5</v>
      </c>
      <c r="L43" s="13">
        <v>3</v>
      </c>
      <c r="M43" s="13">
        <v>12</v>
      </c>
      <c r="N43" s="13">
        <v>0</v>
      </c>
      <c r="O43" s="13">
        <v>1</v>
      </c>
      <c r="P43" s="13">
        <v>3</v>
      </c>
      <c r="Q43" s="13">
        <v>3</v>
      </c>
      <c r="R43" s="13">
        <v>0</v>
      </c>
      <c r="S43" s="13">
        <v>6</v>
      </c>
      <c r="T43" s="13">
        <f>SUM(H43:S43)</f>
        <v>39</v>
      </c>
      <c r="U43" s="13" t="s">
        <v>192</v>
      </c>
    </row>
    <row r="44" spans="1:21" s="21" customFormat="1" ht="12.75" x14ac:dyDescent="0.2">
      <c r="A44" s="8" t="str">
        <f>("437")</f>
        <v>437</v>
      </c>
      <c r="B44" s="9" t="s">
        <v>130</v>
      </c>
      <c r="C44" s="9" t="s">
        <v>131</v>
      </c>
      <c r="D44" s="8" t="str">
        <f>("204798")</f>
        <v>204798</v>
      </c>
      <c r="E44" s="9" t="s">
        <v>116</v>
      </c>
      <c r="F44" s="9" t="s">
        <v>132</v>
      </c>
      <c r="G44" s="17" t="s">
        <v>133</v>
      </c>
      <c r="H44" s="13">
        <v>0</v>
      </c>
      <c r="I44" s="13">
        <v>0</v>
      </c>
      <c r="J44" s="13">
        <v>6</v>
      </c>
      <c r="K44" s="13">
        <v>1</v>
      </c>
      <c r="L44" s="13">
        <v>6</v>
      </c>
      <c r="M44" s="13">
        <v>9</v>
      </c>
      <c r="N44" s="13">
        <v>0</v>
      </c>
      <c r="O44" s="13">
        <v>2</v>
      </c>
      <c r="P44" s="13">
        <v>6</v>
      </c>
      <c r="Q44" s="13">
        <v>5</v>
      </c>
      <c r="R44" s="13">
        <v>0</v>
      </c>
      <c r="S44" s="13">
        <v>9</v>
      </c>
      <c r="T44" s="13">
        <f>SUM(H44:S44)</f>
        <v>44</v>
      </c>
      <c r="U44" s="13" t="s">
        <v>193</v>
      </c>
    </row>
    <row r="45" spans="1:21" s="21" customFormat="1" ht="12.75" x14ac:dyDescent="0.2">
      <c r="A45" s="23">
        <v>806</v>
      </c>
      <c r="B45" s="26" t="s">
        <v>112</v>
      </c>
      <c r="C45" s="26" t="s">
        <v>157</v>
      </c>
      <c r="D45" s="23">
        <v>204249</v>
      </c>
      <c r="E45" s="26" t="s">
        <v>116</v>
      </c>
      <c r="F45" s="26" t="s">
        <v>168</v>
      </c>
      <c r="G45" s="30" t="s">
        <v>0</v>
      </c>
      <c r="H45" s="13" t="s">
        <v>187</v>
      </c>
      <c r="I45" s="13" t="s">
        <v>187</v>
      </c>
      <c r="J45" s="13" t="s">
        <v>187</v>
      </c>
      <c r="K45" s="13" t="s">
        <v>187</v>
      </c>
      <c r="L45" s="13" t="s">
        <v>187</v>
      </c>
      <c r="M45" s="13" t="s">
        <v>187</v>
      </c>
      <c r="N45" s="13" t="s">
        <v>187</v>
      </c>
      <c r="O45" s="13" t="s">
        <v>187</v>
      </c>
      <c r="P45" s="13" t="s">
        <v>187</v>
      </c>
      <c r="Q45" s="13" t="s">
        <v>187</v>
      </c>
      <c r="R45" s="13" t="s">
        <v>187</v>
      </c>
      <c r="S45" s="13" t="s">
        <v>187</v>
      </c>
      <c r="T45" s="13" t="s">
        <v>187</v>
      </c>
      <c r="U45" s="13" t="s">
        <v>187</v>
      </c>
    </row>
    <row r="46" spans="1:21" s="21" customFormat="1" ht="12.75" x14ac:dyDescent="0.2">
      <c r="A46" s="8" t="str">
        <f>("355")</f>
        <v>355</v>
      </c>
      <c r="B46" s="9" t="s">
        <v>114</v>
      </c>
      <c r="C46" s="9" t="s">
        <v>115</v>
      </c>
      <c r="D46" s="8" t="str">
        <f>("146471")</f>
        <v>146471</v>
      </c>
      <c r="E46" s="9" t="s">
        <v>116</v>
      </c>
      <c r="F46" s="9" t="s">
        <v>51</v>
      </c>
      <c r="G46" s="17" t="s">
        <v>0</v>
      </c>
      <c r="H46" s="13" t="s">
        <v>187</v>
      </c>
      <c r="I46" s="13" t="s">
        <v>187</v>
      </c>
      <c r="J46" s="13" t="s">
        <v>187</v>
      </c>
      <c r="K46" s="13" t="s">
        <v>187</v>
      </c>
      <c r="L46" s="13" t="s">
        <v>187</v>
      </c>
      <c r="M46" s="13" t="s">
        <v>187</v>
      </c>
      <c r="N46" s="13" t="s">
        <v>187</v>
      </c>
      <c r="O46" s="13" t="s">
        <v>187</v>
      </c>
      <c r="P46" s="13" t="s">
        <v>187</v>
      </c>
      <c r="Q46" s="13" t="s">
        <v>187</v>
      </c>
      <c r="R46" s="13" t="s">
        <v>187</v>
      </c>
      <c r="S46" s="13" t="s">
        <v>187</v>
      </c>
      <c r="T46" s="13" t="s">
        <v>187</v>
      </c>
      <c r="U46" s="13" t="s">
        <v>187</v>
      </c>
    </row>
    <row r="47" spans="1:21" s="21" customFormat="1" ht="12.75" x14ac:dyDescent="0.2">
      <c r="A47" s="8"/>
      <c r="B47" s="9"/>
      <c r="C47" s="9"/>
      <c r="D47" s="8"/>
      <c r="E47" s="9"/>
      <c r="F47" s="9"/>
      <c r="G47" s="17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spans="1:21" s="21" customFormat="1" ht="12.75" x14ac:dyDescent="0.2">
      <c r="A48" s="8"/>
      <c r="B48" s="9"/>
      <c r="C48" s="9"/>
      <c r="D48" s="8"/>
      <c r="E48" s="9"/>
      <c r="F48" s="9"/>
      <c r="G48" s="17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1:21" s="21" customFormat="1" ht="12.75" x14ac:dyDescent="0.2">
      <c r="A49" s="8" t="str">
        <f>("23")</f>
        <v>23</v>
      </c>
      <c r="B49" s="9" t="s">
        <v>17</v>
      </c>
      <c r="C49" s="9" t="s">
        <v>21</v>
      </c>
      <c r="D49" s="8" t="str">
        <f>("21708")</f>
        <v>21708</v>
      </c>
      <c r="E49" s="9" t="s">
        <v>188</v>
      </c>
      <c r="F49" s="9" t="s">
        <v>23</v>
      </c>
      <c r="G49" s="17" t="s">
        <v>0</v>
      </c>
      <c r="H49" s="13">
        <v>8</v>
      </c>
      <c r="I49" s="13">
        <v>0</v>
      </c>
      <c r="J49" s="13">
        <v>3</v>
      </c>
      <c r="K49" s="13">
        <v>2</v>
      </c>
      <c r="L49" s="13">
        <v>2</v>
      </c>
      <c r="M49" s="13">
        <v>9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f>SUM(H49:S49)</f>
        <v>24</v>
      </c>
      <c r="U49" s="13" t="s">
        <v>190</v>
      </c>
    </row>
    <row r="50" spans="1:21" s="21" customFormat="1" ht="12.75" x14ac:dyDescent="0.2">
      <c r="A50" s="23"/>
      <c r="B50" s="26"/>
      <c r="C50" s="26"/>
      <c r="D50" s="23"/>
      <c r="E50" s="26"/>
      <c r="F50" s="26"/>
      <c r="G50" s="30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1:21" s="21" customFormat="1" ht="12.75" x14ac:dyDescent="0.2">
      <c r="A51" s="8" t="str">
        <f>("37")</f>
        <v>37</v>
      </c>
      <c r="B51" s="9" t="s">
        <v>34</v>
      </c>
      <c r="C51" s="9" t="s">
        <v>35</v>
      </c>
      <c r="D51" s="8" t="str">
        <f>("116173")</f>
        <v>116173</v>
      </c>
      <c r="E51" s="9" t="s">
        <v>22</v>
      </c>
      <c r="F51" s="9" t="s">
        <v>36</v>
      </c>
      <c r="G51" s="17" t="s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2</v>
      </c>
      <c r="O51" s="13">
        <v>1</v>
      </c>
      <c r="P51" s="13">
        <v>0</v>
      </c>
      <c r="Q51" s="13">
        <v>0</v>
      </c>
      <c r="R51" s="13">
        <v>0</v>
      </c>
      <c r="S51" s="13">
        <v>0</v>
      </c>
      <c r="T51" s="13">
        <f>SUM(H51:S51)</f>
        <v>3</v>
      </c>
      <c r="U51" s="13" t="s">
        <v>190</v>
      </c>
    </row>
    <row r="52" spans="1:21" s="21" customFormat="1" ht="12.75" x14ac:dyDescent="0.2">
      <c r="A52" s="8" t="str">
        <f>("57")</f>
        <v>57</v>
      </c>
      <c r="B52" s="9" t="s">
        <v>46</v>
      </c>
      <c r="C52" s="9" t="s">
        <v>47</v>
      </c>
      <c r="D52" s="8" t="str">
        <f>("121323")</f>
        <v>121323</v>
      </c>
      <c r="E52" s="9" t="s">
        <v>22</v>
      </c>
      <c r="F52" s="9" t="s">
        <v>48</v>
      </c>
      <c r="G52" s="17" t="s">
        <v>0</v>
      </c>
      <c r="H52" s="13">
        <v>0</v>
      </c>
      <c r="I52" s="13">
        <v>1</v>
      </c>
      <c r="J52" s="13">
        <v>8</v>
      </c>
      <c r="K52" s="13">
        <v>2</v>
      </c>
      <c r="L52" s="13">
        <v>1</v>
      </c>
      <c r="M52" s="13">
        <v>2</v>
      </c>
      <c r="N52" s="13">
        <v>0</v>
      </c>
      <c r="O52" s="13">
        <v>2</v>
      </c>
      <c r="P52" s="13">
        <v>1</v>
      </c>
      <c r="Q52" s="13">
        <v>0</v>
      </c>
      <c r="R52" s="13">
        <v>5</v>
      </c>
      <c r="S52" s="13">
        <v>0</v>
      </c>
      <c r="T52" s="13">
        <f>SUM(H52:S52)</f>
        <v>22</v>
      </c>
      <c r="U52" s="13" t="s">
        <v>191</v>
      </c>
    </row>
    <row r="53" spans="1:21" s="21" customFormat="1" ht="12.75" x14ac:dyDescent="0.2">
      <c r="A53" s="8"/>
      <c r="B53" s="9"/>
      <c r="C53" s="9"/>
      <c r="D53" s="8"/>
      <c r="E53" s="9"/>
      <c r="F53" s="9"/>
      <c r="G53" s="17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pans="1:21" s="21" customFormat="1" ht="12.75" x14ac:dyDescent="0.2">
      <c r="A54" s="8" t="str">
        <f>("14")</f>
        <v>14</v>
      </c>
      <c r="B54" s="9" t="s">
        <v>17</v>
      </c>
      <c r="C54" s="9" t="s">
        <v>18</v>
      </c>
      <c r="D54" s="8" t="str">
        <f>("171918")</f>
        <v>171918</v>
      </c>
      <c r="E54" s="9" t="s">
        <v>19</v>
      </c>
      <c r="F54" s="9" t="s">
        <v>20</v>
      </c>
      <c r="G54" s="17" t="s">
        <v>0</v>
      </c>
      <c r="H54" s="13">
        <v>0</v>
      </c>
      <c r="I54" s="13">
        <v>0</v>
      </c>
      <c r="J54" s="13">
        <v>0</v>
      </c>
      <c r="K54" s="13">
        <v>8</v>
      </c>
      <c r="L54" s="13">
        <v>6</v>
      </c>
      <c r="M54" s="13">
        <v>1</v>
      </c>
      <c r="N54" s="13">
        <v>0</v>
      </c>
      <c r="O54" s="13">
        <v>5</v>
      </c>
      <c r="P54" s="13">
        <v>1</v>
      </c>
      <c r="Q54" s="13">
        <v>0</v>
      </c>
      <c r="R54" s="13">
        <v>1</v>
      </c>
      <c r="S54" s="13">
        <v>1</v>
      </c>
      <c r="T54" s="13">
        <f>SUM(H54:S54)</f>
        <v>23</v>
      </c>
      <c r="U54" s="13" t="s">
        <v>190</v>
      </c>
    </row>
    <row r="55" spans="1:21" s="21" customFormat="1" ht="12.75" x14ac:dyDescent="0.2">
      <c r="A55" s="8"/>
      <c r="B55" s="9"/>
      <c r="C55" s="9"/>
      <c r="D55" s="8"/>
      <c r="E55" s="9"/>
      <c r="F55" s="9"/>
      <c r="G55" s="17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1" s="21" customFormat="1" ht="12.75" x14ac:dyDescent="0.2">
      <c r="A56" s="8" t="str">
        <f>("320")</f>
        <v>320</v>
      </c>
      <c r="B56" s="9" t="s">
        <v>107</v>
      </c>
      <c r="C56" s="9" t="s">
        <v>108</v>
      </c>
      <c r="D56" s="8" t="str">
        <f>("58049")</f>
        <v>58049</v>
      </c>
      <c r="E56" s="9" t="s">
        <v>15</v>
      </c>
      <c r="F56" s="9" t="s">
        <v>109</v>
      </c>
      <c r="G56" s="17" t="s">
        <v>0</v>
      </c>
      <c r="H56" s="13">
        <v>0</v>
      </c>
      <c r="I56" s="13">
        <v>0</v>
      </c>
      <c r="J56" s="13">
        <v>0</v>
      </c>
      <c r="K56" s="13">
        <v>0</v>
      </c>
      <c r="L56" s="13">
        <v>1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1</v>
      </c>
      <c r="S56" s="13">
        <v>0</v>
      </c>
      <c r="T56" s="13">
        <f t="shared" ref="T56:T69" si="3">SUM(H56:S56)</f>
        <v>2</v>
      </c>
      <c r="U56" s="13" t="s">
        <v>190</v>
      </c>
    </row>
    <row r="57" spans="1:21" s="21" customFormat="1" ht="12.75" x14ac:dyDescent="0.2">
      <c r="A57" s="8" t="str">
        <f>("708")</f>
        <v>708</v>
      </c>
      <c r="B57" s="9" t="s">
        <v>24</v>
      </c>
      <c r="C57" s="9" t="s">
        <v>150</v>
      </c>
      <c r="D57" s="8" t="str">
        <f>("10263")</f>
        <v>10263</v>
      </c>
      <c r="E57" s="9" t="s">
        <v>15</v>
      </c>
      <c r="F57" s="9" t="s">
        <v>151</v>
      </c>
      <c r="G57" s="17" t="s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2</v>
      </c>
      <c r="N57" s="13">
        <v>0</v>
      </c>
      <c r="O57" s="13">
        <v>0</v>
      </c>
      <c r="P57" s="13">
        <v>1</v>
      </c>
      <c r="Q57" s="13">
        <v>0</v>
      </c>
      <c r="R57" s="13">
        <v>0</v>
      </c>
      <c r="S57" s="13">
        <v>0</v>
      </c>
      <c r="T57" s="13">
        <f t="shared" si="3"/>
        <v>3</v>
      </c>
      <c r="U57" s="13" t="s">
        <v>191</v>
      </c>
    </row>
    <row r="58" spans="1:21" s="21" customFormat="1" ht="12.75" x14ac:dyDescent="0.2">
      <c r="A58" s="8" t="str">
        <f>("83")</f>
        <v>83</v>
      </c>
      <c r="B58" s="9" t="s">
        <v>59</v>
      </c>
      <c r="C58" s="9" t="s">
        <v>60</v>
      </c>
      <c r="D58" s="8" t="str">
        <f>("166177")</f>
        <v>166177</v>
      </c>
      <c r="E58" s="9" t="s">
        <v>15</v>
      </c>
      <c r="F58" s="9" t="s">
        <v>61</v>
      </c>
      <c r="G58" s="17" t="s">
        <v>62</v>
      </c>
      <c r="H58" s="13">
        <v>0</v>
      </c>
      <c r="I58" s="13">
        <v>0</v>
      </c>
      <c r="J58" s="13">
        <v>0</v>
      </c>
      <c r="K58" s="13">
        <v>0</v>
      </c>
      <c r="L58" s="13">
        <v>3</v>
      </c>
      <c r="M58" s="13">
        <v>1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f t="shared" si="3"/>
        <v>4</v>
      </c>
      <c r="U58" s="13" t="s">
        <v>192</v>
      </c>
    </row>
    <row r="59" spans="1:21" s="21" customFormat="1" ht="12.75" x14ac:dyDescent="0.2">
      <c r="A59" s="8" t="str">
        <f>("183")</f>
        <v>183</v>
      </c>
      <c r="B59" s="9" t="s">
        <v>79</v>
      </c>
      <c r="C59" s="9" t="s">
        <v>80</v>
      </c>
      <c r="D59" s="8" t="str">
        <f>("79868")</f>
        <v>79868</v>
      </c>
      <c r="E59" s="9" t="s">
        <v>15</v>
      </c>
      <c r="F59" s="9" t="s">
        <v>81</v>
      </c>
      <c r="G59" s="17" t="s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5</v>
      </c>
      <c r="T59" s="13">
        <f t="shared" si="3"/>
        <v>5</v>
      </c>
      <c r="U59" s="13" t="s">
        <v>193</v>
      </c>
    </row>
    <row r="60" spans="1:21" s="21" customFormat="1" ht="12.75" x14ac:dyDescent="0.2">
      <c r="A60" s="8" t="str">
        <f>("88")</f>
        <v>88</v>
      </c>
      <c r="B60" s="9" t="s">
        <v>67</v>
      </c>
      <c r="C60" s="9" t="s">
        <v>68</v>
      </c>
      <c r="D60" s="8" t="str">
        <f>("144169")</f>
        <v>144169</v>
      </c>
      <c r="E60" s="9" t="s">
        <v>15</v>
      </c>
      <c r="F60" s="9" t="s">
        <v>69</v>
      </c>
      <c r="G60" s="17" t="s">
        <v>0</v>
      </c>
      <c r="H60" s="13">
        <v>0</v>
      </c>
      <c r="I60" s="13">
        <v>0</v>
      </c>
      <c r="J60" s="13">
        <v>0</v>
      </c>
      <c r="K60" s="13">
        <v>0</v>
      </c>
      <c r="L60" s="13">
        <v>6</v>
      </c>
      <c r="M60" s="13">
        <v>2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f t="shared" si="3"/>
        <v>8</v>
      </c>
      <c r="U60" s="13" t="s">
        <v>194</v>
      </c>
    </row>
    <row r="61" spans="1:21" s="21" customFormat="1" ht="12.75" x14ac:dyDescent="0.2">
      <c r="A61" s="8" t="str">
        <f>("43")</f>
        <v>43</v>
      </c>
      <c r="B61" s="9" t="s">
        <v>37</v>
      </c>
      <c r="C61" s="9" t="s">
        <v>38</v>
      </c>
      <c r="D61" s="8" t="str">
        <f>("58566")</f>
        <v>58566</v>
      </c>
      <c r="E61" s="9" t="s">
        <v>15</v>
      </c>
      <c r="F61" s="9" t="s">
        <v>39</v>
      </c>
      <c r="G61" s="17" t="s">
        <v>0</v>
      </c>
      <c r="H61" s="13">
        <v>0</v>
      </c>
      <c r="I61" s="13">
        <v>0</v>
      </c>
      <c r="J61" s="13">
        <v>0</v>
      </c>
      <c r="K61" s="13">
        <v>0</v>
      </c>
      <c r="L61" s="13">
        <v>6</v>
      </c>
      <c r="M61" s="13">
        <v>4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f t="shared" si="3"/>
        <v>10</v>
      </c>
      <c r="U61" s="13" t="s">
        <v>195</v>
      </c>
    </row>
    <row r="62" spans="1:21" s="21" customFormat="1" ht="12.75" x14ac:dyDescent="0.2">
      <c r="A62" s="8" t="str">
        <f>("147")</f>
        <v>147</v>
      </c>
      <c r="B62" s="9" t="s">
        <v>46</v>
      </c>
      <c r="C62" s="9" t="s">
        <v>74</v>
      </c>
      <c r="D62" s="8" t="str">
        <f>("10927")</f>
        <v>10927</v>
      </c>
      <c r="E62" s="9" t="s">
        <v>15</v>
      </c>
      <c r="F62" s="9" t="s">
        <v>75</v>
      </c>
      <c r="G62" s="17" t="s">
        <v>62</v>
      </c>
      <c r="H62" s="13">
        <v>0</v>
      </c>
      <c r="I62" s="13">
        <v>0</v>
      </c>
      <c r="J62" s="13">
        <v>1</v>
      </c>
      <c r="K62" s="13">
        <v>0</v>
      </c>
      <c r="L62" s="13">
        <v>2</v>
      </c>
      <c r="M62" s="13">
        <v>3</v>
      </c>
      <c r="N62" s="13">
        <v>0</v>
      </c>
      <c r="O62" s="13">
        <v>0</v>
      </c>
      <c r="P62" s="13">
        <v>5</v>
      </c>
      <c r="Q62" s="13">
        <v>0</v>
      </c>
      <c r="R62" s="13">
        <v>0</v>
      </c>
      <c r="S62" s="13">
        <v>0</v>
      </c>
      <c r="T62" s="13">
        <f t="shared" si="3"/>
        <v>11</v>
      </c>
      <c r="U62" s="13" t="s">
        <v>196</v>
      </c>
    </row>
    <row r="63" spans="1:21" s="21" customFormat="1" ht="12.75" x14ac:dyDescent="0.2">
      <c r="A63" s="23">
        <v>800</v>
      </c>
      <c r="B63" s="26" t="s">
        <v>152</v>
      </c>
      <c r="C63" s="26" t="s">
        <v>153</v>
      </c>
      <c r="D63" s="23">
        <v>80215</v>
      </c>
      <c r="E63" s="26" t="s">
        <v>15</v>
      </c>
      <c r="F63" s="26" t="s">
        <v>61</v>
      </c>
      <c r="G63" s="31" t="s">
        <v>0</v>
      </c>
      <c r="H63" s="13">
        <v>0</v>
      </c>
      <c r="I63" s="13">
        <v>0</v>
      </c>
      <c r="J63" s="13">
        <v>0</v>
      </c>
      <c r="K63" s="13">
        <v>0</v>
      </c>
      <c r="L63" s="13">
        <v>1</v>
      </c>
      <c r="M63" s="13">
        <v>9</v>
      </c>
      <c r="N63" s="13">
        <v>0</v>
      </c>
      <c r="O63" s="13">
        <v>0</v>
      </c>
      <c r="P63" s="13">
        <v>1</v>
      </c>
      <c r="Q63" s="13">
        <v>1</v>
      </c>
      <c r="R63" s="13">
        <v>1</v>
      </c>
      <c r="S63" s="13">
        <v>0</v>
      </c>
      <c r="T63" s="13">
        <f t="shared" si="3"/>
        <v>13</v>
      </c>
      <c r="U63" s="13" t="s">
        <v>197</v>
      </c>
    </row>
    <row r="64" spans="1:21" s="21" customFormat="1" ht="12.75" x14ac:dyDescent="0.2">
      <c r="A64" s="8" t="str">
        <f>("78")</f>
        <v>78</v>
      </c>
      <c r="B64" s="9" t="s">
        <v>54</v>
      </c>
      <c r="C64" s="9" t="s">
        <v>55</v>
      </c>
      <c r="D64" s="8" t="str">
        <f>("30980")</f>
        <v>30980</v>
      </c>
      <c r="E64" s="9" t="s">
        <v>15</v>
      </c>
      <c r="F64" s="9" t="s">
        <v>56</v>
      </c>
      <c r="G64" s="17" t="s">
        <v>0</v>
      </c>
      <c r="H64" s="13">
        <v>0</v>
      </c>
      <c r="I64" s="13">
        <v>0</v>
      </c>
      <c r="J64" s="13">
        <v>3</v>
      </c>
      <c r="K64" s="13">
        <v>0</v>
      </c>
      <c r="L64" s="13">
        <v>4</v>
      </c>
      <c r="M64" s="13">
        <v>6</v>
      </c>
      <c r="N64" s="13">
        <v>0</v>
      </c>
      <c r="O64" s="13">
        <v>0</v>
      </c>
      <c r="P64" s="13">
        <v>5</v>
      </c>
      <c r="Q64" s="13">
        <v>0</v>
      </c>
      <c r="R64" s="13">
        <v>0</v>
      </c>
      <c r="S64" s="13">
        <v>0</v>
      </c>
      <c r="T64" s="13">
        <f t="shared" si="3"/>
        <v>18</v>
      </c>
      <c r="U64" s="13" t="s">
        <v>198</v>
      </c>
    </row>
    <row r="65" spans="1:21" s="21" customFormat="1" ht="12.75" x14ac:dyDescent="0.2">
      <c r="A65" s="33">
        <v>803</v>
      </c>
      <c r="B65" s="27" t="s">
        <v>160</v>
      </c>
      <c r="C65" s="27" t="s">
        <v>139</v>
      </c>
      <c r="D65" s="33" t="s">
        <v>162</v>
      </c>
      <c r="E65" s="27" t="s">
        <v>15</v>
      </c>
      <c r="F65" s="27" t="s">
        <v>56</v>
      </c>
      <c r="G65" s="36" t="s">
        <v>161</v>
      </c>
      <c r="H65" s="13">
        <v>0</v>
      </c>
      <c r="I65" s="13">
        <v>5</v>
      </c>
      <c r="J65" s="13">
        <v>8</v>
      </c>
      <c r="K65" s="13">
        <v>0</v>
      </c>
      <c r="L65" s="13">
        <v>0</v>
      </c>
      <c r="M65" s="13">
        <v>0</v>
      </c>
      <c r="N65" s="32">
        <v>0</v>
      </c>
      <c r="O65" s="13">
        <v>1</v>
      </c>
      <c r="P65" s="13">
        <v>7</v>
      </c>
      <c r="Q65" s="13">
        <v>0</v>
      </c>
      <c r="R65" s="13">
        <v>0</v>
      </c>
      <c r="S65" s="13">
        <v>0</v>
      </c>
      <c r="T65" s="13">
        <f t="shared" si="3"/>
        <v>21</v>
      </c>
      <c r="U65" s="13" t="s">
        <v>199</v>
      </c>
    </row>
    <row r="66" spans="1:21" s="21" customFormat="1" ht="12.75" x14ac:dyDescent="0.2">
      <c r="A66" s="4" t="str">
        <f>("32")</f>
        <v>32</v>
      </c>
      <c r="B66" s="5" t="s">
        <v>27</v>
      </c>
      <c r="C66" s="5" t="s">
        <v>28</v>
      </c>
      <c r="D66" s="4" t="str">
        <f>("166671")</f>
        <v>166671</v>
      </c>
      <c r="E66" s="5" t="s">
        <v>15</v>
      </c>
      <c r="F66" s="5" t="s">
        <v>29</v>
      </c>
      <c r="G66" s="15" t="s">
        <v>0</v>
      </c>
      <c r="H66" s="13">
        <v>0</v>
      </c>
      <c r="I66" s="13">
        <v>4</v>
      </c>
      <c r="J66" s="13">
        <v>2</v>
      </c>
      <c r="K66" s="13">
        <v>5</v>
      </c>
      <c r="L66" s="13">
        <v>8</v>
      </c>
      <c r="M66" s="13">
        <v>4</v>
      </c>
      <c r="N66" s="13">
        <v>1</v>
      </c>
      <c r="O66" s="13">
        <v>0</v>
      </c>
      <c r="P66" s="13">
        <v>2</v>
      </c>
      <c r="Q66" s="13">
        <v>1</v>
      </c>
      <c r="R66" s="13">
        <v>0</v>
      </c>
      <c r="S66" s="13">
        <v>5</v>
      </c>
      <c r="T66" s="13">
        <f t="shared" si="3"/>
        <v>32</v>
      </c>
      <c r="U66" s="13" t="s">
        <v>200</v>
      </c>
    </row>
    <row r="67" spans="1:21" s="21" customFormat="1" ht="12.75" x14ac:dyDescent="0.2">
      <c r="A67" s="4" t="str">
        <f>("54")</f>
        <v>54</v>
      </c>
      <c r="B67" s="5" t="s">
        <v>43</v>
      </c>
      <c r="C67" s="5" t="s">
        <v>44</v>
      </c>
      <c r="D67" s="4" t="str">
        <f>("181641")</f>
        <v>181641</v>
      </c>
      <c r="E67" s="5" t="s">
        <v>15</v>
      </c>
      <c r="F67" s="5" t="s">
        <v>45</v>
      </c>
      <c r="G67" s="15" t="s">
        <v>0</v>
      </c>
      <c r="H67" s="13">
        <v>0</v>
      </c>
      <c r="I67" s="13">
        <v>7</v>
      </c>
      <c r="J67" s="13">
        <v>7</v>
      </c>
      <c r="K67" s="13">
        <v>1</v>
      </c>
      <c r="L67" s="13">
        <v>3</v>
      </c>
      <c r="M67" s="13">
        <v>6</v>
      </c>
      <c r="N67" s="13">
        <v>2</v>
      </c>
      <c r="O67" s="13">
        <v>0</v>
      </c>
      <c r="P67" s="13">
        <v>5</v>
      </c>
      <c r="Q67" s="13">
        <v>0</v>
      </c>
      <c r="R67" s="13">
        <v>2</v>
      </c>
      <c r="S67" s="13">
        <v>0</v>
      </c>
      <c r="T67" s="13">
        <f t="shared" si="3"/>
        <v>33</v>
      </c>
      <c r="U67" s="13" t="s">
        <v>201</v>
      </c>
    </row>
    <row r="68" spans="1:21" s="21" customFormat="1" ht="12.75" x14ac:dyDescent="0.2">
      <c r="A68" s="34" t="str">
        <f>("446")</f>
        <v>446</v>
      </c>
      <c r="B68" s="35" t="s">
        <v>67</v>
      </c>
      <c r="C68" s="35" t="s">
        <v>134</v>
      </c>
      <c r="D68" s="34" t="str">
        <f>("206213")</f>
        <v>206213</v>
      </c>
      <c r="E68" s="12" t="s">
        <v>15</v>
      </c>
      <c r="F68" s="35" t="s">
        <v>135</v>
      </c>
      <c r="G68" s="37" t="s">
        <v>0</v>
      </c>
      <c r="H68" s="13">
        <v>0</v>
      </c>
      <c r="I68" s="13">
        <v>1</v>
      </c>
      <c r="J68" s="13">
        <v>1</v>
      </c>
      <c r="K68" s="13">
        <v>2</v>
      </c>
      <c r="L68" s="13">
        <v>11</v>
      </c>
      <c r="M68" s="13">
        <v>9</v>
      </c>
      <c r="N68" s="13">
        <v>1</v>
      </c>
      <c r="O68" s="13">
        <v>10</v>
      </c>
      <c r="P68" s="13">
        <v>4</v>
      </c>
      <c r="Q68" s="13">
        <v>5</v>
      </c>
      <c r="R68" s="13">
        <v>1</v>
      </c>
      <c r="S68" s="13">
        <v>1</v>
      </c>
      <c r="T68" s="13">
        <f t="shared" si="3"/>
        <v>46</v>
      </c>
      <c r="U68" s="13" t="s">
        <v>202</v>
      </c>
    </row>
    <row r="69" spans="1:21" s="21" customFormat="1" ht="12.75" x14ac:dyDescent="0.2">
      <c r="A69" s="34" t="str">
        <f>("11")</f>
        <v>11</v>
      </c>
      <c r="B69" s="35" t="s">
        <v>13</v>
      </c>
      <c r="C69" s="35" t="s">
        <v>14</v>
      </c>
      <c r="D69" s="34" t="str">
        <f>("186048")</f>
        <v>186048</v>
      </c>
      <c r="E69" s="35" t="s">
        <v>15</v>
      </c>
      <c r="F69" s="35" t="s">
        <v>16</v>
      </c>
      <c r="G69" s="37" t="s">
        <v>0</v>
      </c>
      <c r="H69" s="13">
        <v>4</v>
      </c>
      <c r="I69" s="13">
        <v>11</v>
      </c>
      <c r="J69" s="13">
        <v>4</v>
      </c>
      <c r="K69" s="13">
        <v>2</v>
      </c>
      <c r="L69" s="13">
        <v>11</v>
      </c>
      <c r="M69" s="13">
        <v>13</v>
      </c>
      <c r="N69" s="13">
        <v>5</v>
      </c>
      <c r="O69" s="13">
        <v>4</v>
      </c>
      <c r="P69" s="13">
        <v>10</v>
      </c>
      <c r="Q69" s="13">
        <v>1</v>
      </c>
      <c r="R69" s="13">
        <v>2</v>
      </c>
      <c r="S69" s="13">
        <v>2</v>
      </c>
      <c r="T69" s="13">
        <f t="shared" si="3"/>
        <v>69</v>
      </c>
      <c r="U69" s="13" t="s">
        <v>203</v>
      </c>
    </row>
    <row r="70" spans="1:21" s="21" customFormat="1" ht="12.75" x14ac:dyDescent="0.2">
      <c r="A70" s="22"/>
      <c r="B70" s="25"/>
      <c r="C70" s="25"/>
      <c r="D70" s="22"/>
      <c r="E70" s="25"/>
      <c r="F70" s="25"/>
      <c r="G70" s="29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</row>
    <row r="71" spans="1:21" s="21" customFormat="1" ht="12.75" x14ac:dyDescent="0.2">
      <c r="A71" s="4" t="str">
        <f>("462")</f>
        <v>462</v>
      </c>
      <c r="B71" s="5" t="s">
        <v>147</v>
      </c>
      <c r="C71" s="5" t="s">
        <v>142</v>
      </c>
      <c r="D71" s="4" t="str">
        <f>("207771")</f>
        <v>207771</v>
      </c>
      <c r="E71" s="5" t="s">
        <v>32</v>
      </c>
      <c r="F71" s="5" t="s">
        <v>121</v>
      </c>
      <c r="G71" s="15" t="s">
        <v>0</v>
      </c>
      <c r="H71" s="13">
        <v>0</v>
      </c>
      <c r="I71" s="13">
        <v>0</v>
      </c>
      <c r="J71" s="13">
        <v>0</v>
      </c>
      <c r="K71" s="13">
        <v>0</v>
      </c>
      <c r="L71" s="13">
        <v>6</v>
      </c>
      <c r="M71" s="13">
        <v>0</v>
      </c>
      <c r="N71" s="13">
        <v>0</v>
      </c>
      <c r="O71" s="13">
        <v>0</v>
      </c>
      <c r="P71" s="13">
        <v>1</v>
      </c>
      <c r="Q71" s="13">
        <v>1</v>
      </c>
      <c r="R71" s="13">
        <v>0</v>
      </c>
      <c r="S71" s="13">
        <v>0</v>
      </c>
      <c r="T71" s="13">
        <f>SUM(H71:S71)</f>
        <v>8</v>
      </c>
      <c r="U71" s="13" t="s">
        <v>190</v>
      </c>
    </row>
    <row r="72" spans="1:21" s="21" customFormat="1" ht="12.75" x14ac:dyDescent="0.2">
      <c r="A72" s="4" t="str">
        <f>("47")</f>
        <v>47</v>
      </c>
      <c r="B72" s="5" t="s">
        <v>40</v>
      </c>
      <c r="C72" s="5" t="s">
        <v>41</v>
      </c>
      <c r="D72" s="4" t="str">
        <f>("192287")</f>
        <v>192287</v>
      </c>
      <c r="E72" s="5" t="s">
        <v>32</v>
      </c>
      <c r="F72" s="5" t="s">
        <v>42</v>
      </c>
      <c r="G72" s="15" t="s">
        <v>0</v>
      </c>
      <c r="H72" s="13">
        <v>0</v>
      </c>
      <c r="I72" s="13">
        <v>0</v>
      </c>
      <c r="J72" s="13">
        <v>3</v>
      </c>
      <c r="K72" s="13">
        <v>0</v>
      </c>
      <c r="L72" s="13">
        <v>6</v>
      </c>
      <c r="M72" s="13">
        <v>11</v>
      </c>
      <c r="N72" s="13">
        <v>1</v>
      </c>
      <c r="O72" s="13">
        <v>0</v>
      </c>
      <c r="P72" s="13">
        <v>5</v>
      </c>
      <c r="Q72" s="13">
        <v>1</v>
      </c>
      <c r="R72" s="13">
        <v>4</v>
      </c>
      <c r="S72" s="13">
        <v>1</v>
      </c>
      <c r="T72" s="13">
        <f>SUM(H72:S72)</f>
        <v>32</v>
      </c>
      <c r="U72" s="13" t="s">
        <v>191</v>
      </c>
    </row>
    <row r="73" spans="1:21" s="21" customFormat="1" ht="12.75" x14ac:dyDescent="0.2">
      <c r="A73" s="4" t="str">
        <f>("459")</f>
        <v>459</v>
      </c>
      <c r="B73" s="5" t="s">
        <v>143</v>
      </c>
      <c r="C73" s="5" t="s">
        <v>137</v>
      </c>
      <c r="D73" s="4" t="str">
        <f>("197027")</f>
        <v>197027</v>
      </c>
      <c r="E73" s="5" t="s">
        <v>32</v>
      </c>
      <c r="F73" s="5" t="s">
        <v>144</v>
      </c>
      <c r="G73" s="15" t="s">
        <v>0</v>
      </c>
      <c r="H73" s="13">
        <v>0</v>
      </c>
      <c r="I73" s="13">
        <v>2</v>
      </c>
      <c r="J73" s="13">
        <v>9</v>
      </c>
      <c r="K73" s="13">
        <v>2</v>
      </c>
      <c r="L73" s="13">
        <v>10</v>
      </c>
      <c r="M73" s="13">
        <v>9</v>
      </c>
      <c r="N73" s="13">
        <v>10</v>
      </c>
      <c r="O73" s="13">
        <v>7</v>
      </c>
      <c r="P73" s="13">
        <v>2</v>
      </c>
      <c r="Q73" s="13">
        <v>0</v>
      </c>
      <c r="R73" s="13">
        <v>5</v>
      </c>
      <c r="S73" s="13">
        <v>0</v>
      </c>
      <c r="T73" s="13">
        <f>SUM(H73:S73)</f>
        <v>56</v>
      </c>
      <c r="U73" s="13" t="s">
        <v>192</v>
      </c>
    </row>
    <row r="74" spans="1:21" s="21" customFormat="1" ht="12.75" x14ac:dyDescent="0.2">
      <c r="A74" s="4"/>
      <c r="B74" s="5"/>
      <c r="C74" s="5"/>
      <c r="D74" s="4"/>
      <c r="E74" s="5"/>
      <c r="F74" s="5"/>
      <c r="G74" s="15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</row>
    <row r="75" spans="1:21" s="21" customFormat="1" ht="12.75" x14ac:dyDescent="0.2">
      <c r="A75" s="4" t="str">
        <f>("36")</f>
        <v>36</v>
      </c>
      <c r="B75" s="5" t="s">
        <v>30</v>
      </c>
      <c r="C75" s="5" t="s">
        <v>31</v>
      </c>
      <c r="D75" s="4" t="str">
        <f>("180995")</f>
        <v>180995</v>
      </c>
      <c r="E75" s="5" t="s">
        <v>189</v>
      </c>
      <c r="F75" s="5" t="s">
        <v>33</v>
      </c>
      <c r="G75" s="15" t="s">
        <v>0</v>
      </c>
      <c r="H75" s="13">
        <v>0</v>
      </c>
      <c r="I75" s="13">
        <v>0</v>
      </c>
      <c r="J75" s="13">
        <v>0</v>
      </c>
      <c r="K75" s="13">
        <v>2</v>
      </c>
      <c r="L75" s="13">
        <v>8</v>
      </c>
      <c r="M75" s="13">
        <v>1</v>
      </c>
      <c r="N75" s="13">
        <v>0</v>
      </c>
      <c r="O75" s="13">
        <v>0</v>
      </c>
      <c r="P75" s="13">
        <v>2</v>
      </c>
      <c r="Q75" s="13">
        <v>0</v>
      </c>
      <c r="R75" s="13">
        <v>0</v>
      </c>
      <c r="S75" s="13">
        <v>0</v>
      </c>
      <c r="T75" s="13">
        <f>SUM(H75:S75)</f>
        <v>13</v>
      </c>
      <c r="U75" s="13" t="s">
        <v>190</v>
      </c>
    </row>
    <row r="76" spans="1:21" s="21" customFormat="1" ht="12.75" x14ac:dyDescent="0.2">
      <c r="A76" s="4" t="str">
        <f>("393")</f>
        <v>393</v>
      </c>
      <c r="B76" s="5" t="s">
        <v>119</v>
      </c>
      <c r="C76" s="5" t="s">
        <v>120</v>
      </c>
      <c r="D76" s="4" t="str">
        <f>("204153")</f>
        <v>204153</v>
      </c>
      <c r="E76" s="5" t="s">
        <v>189</v>
      </c>
      <c r="F76" s="5" t="s">
        <v>121</v>
      </c>
      <c r="G76" s="15" t="s">
        <v>0</v>
      </c>
      <c r="H76" s="13" t="s">
        <v>187</v>
      </c>
      <c r="I76" s="13" t="s">
        <v>187</v>
      </c>
      <c r="J76" s="13" t="s">
        <v>187</v>
      </c>
      <c r="K76" s="13" t="s">
        <v>187</v>
      </c>
      <c r="L76" s="13" t="s">
        <v>187</v>
      </c>
      <c r="M76" s="13" t="s">
        <v>187</v>
      </c>
      <c r="N76" s="13" t="s">
        <v>187</v>
      </c>
      <c r="O76" s="13" t="s">
        <v>187</v>
      </c>
      <c r="P76" s="13" t="s">
        <v>187</v>
      </c>
      <c r="Q76" s="13" t="s">
        <v>187</v>
      </c>
      <c r="R76" s="13" t="s">
        <v>187</v>
      </c>
      <c r="S76" s="13" t="s">
        <v>187</v>
      </c>
      <c r="T76" s="13" t="s">
        <v>187</v>
      </c>
      <c r="U76" s="13" t="s">
        <v>187</v>
      </c>
    </row>
    <row r="77" spans="1:21" s="21" customFormat="1" ht="12.75" x14ac:dyDescent="0.2">
      <c r="A77" s="11"/>
      <c r="D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</row>
    <row r="78" spans="1:21" s="21" customFormat="1" ht="12.75" x14ac:dyDescent="0.2">
      <c r="A78" s="11"/>
      <c r="D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</row>
    <row r="79" spans="1:21" s="21" customFormat="1" ht="12.75" x14ac:dyDescent="0.2">
      <c r="A79" s="11"/>
      <c r="D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</row>
    <row r="80" spans="1:21" s="21" customFormat="1" ht="12.75" x14ac:dyDescent="0.2">
      <c r="A80" s="11"/>
      <c r="D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</row>
    <row r="81" spans="1:21" s="21" customFormat="1" ht="12.75" x14ac:dyDescent="0.2">
      <c r="A81" s="11"/>
      <c r="D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1" s="21" customFormat="1" ht="12.75" x14ac:dyDescent="0.2">
      <c r="A82" s="11"/>
      <c r="D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</row>
    <row r="83" spans="1:21" s="21" customFormat="1" ht="12.75" x14ac:dyDescent="0.2">
      <c r="A83" s="11"/>
      <c r="D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</row>
    <row r="84" spans="1:21" s="21" customFormat="1" ht="12.75" x14ac:dyDescent="0.2">
      <c r="A84" s="11"/>
      <c r="D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1" s="21" customFormat="1" ht="12.75" x14ac:dyDescent="0.2">
      <c r="A85" s="11"/>
      <c r="D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</sheetData>
  <sortState xmlns:xlrd2="http://schemas.microsoft.com/office/spreadsheetml/2017/richdata2" ref="A71:U73">
    <sortCondition ref="T71:T73"/>
  </sortState>
  <mergeCells count="5">
    <mergeCell ref="A1:G1"/>
    <mergeCell ref="A2:G2"/>
    <mergeCell ref="A3:G3"/>
    <mergeCell ref="A4:G4"/>
    <mergeCell ref="B6:C6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Sheet1!_Hlk84927499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2021-10-15T09:41:13Z</dcterms:created>
  <dcterms:modified xsi:type="dcterms:W3CDTF">2021-10-18T16:37:35Z</dcterms:modified>
</cp:coreProperties>
</file>